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295" windowHeight="6255" tabRatio="596" firstSheet="23" activeTab="19"/>
  </bookViews>
  <sheets>
    <sheet name="1.sz. melléklet" sheetId="1" r:id="rId1"/>
    <sheet name="2. sz. melléklet" sheetId="2" r:id="rId2"/>
    <sheet name="3. sz. melléklet" sheetId="3" r:id="rId3"/>
    <sheet name="4. sz. melléklet" sheetId="4" r:id="rId4"/>
    <sheet name="5.1 sz. melléklet" sheetId="5" r:id="rId5"/>
    <sheet name="5.2. sz. melléklet" sheetId="6" r:id="rId6"/>
    <sheet name="5.3.sz. melléklet" sheetId="7" r:id="rId7"/>
    <sheet name="6.sz. melléklet" sheetId="8" r:id="rId8"/>
    <sheet name="7. sz. melléklet" sheetId="9" r:id="rId9"/>
    <sheet name="8. sz. melléklet " sheetId="10" r:id="rId10"/>
    <sheet name="9. sz. melléklet" sheetId="11" r:id="rId11"/>
    <sheet name="9.sz.melléklet (2)" sheetId="12" r:id="rId12"/>
    <sheet name="10. sz. melléklet" sheetId="13" r:id="rId13"/>
    <sheet name="11. sz. melléklet" sheetId="14" r:id="rId14"/>
    <sheet name="12. sz. melléklet" sheetId="15" r:id="rId15"/>
    <sheet name="13. sz. melléklet " sheetId="16" r:id="rId16"/>
    <sheet name="14. sz.melléklet" sheetId="17" r:id="rId17"/>
    <sheet name="15.sz. melléklet" sheetId="18" r:id="rId18"/>
    <sheet name="16. sz. melléklet" sheetId="19" r:id="rId19"/>
    <sheet name="17. sz. melléklet" sheetId="20" r:id="rId20"/>
    <sheet name="18.sz. melléklet" sheetId="21" r:id="rId21"/>
    <sheet name="19. melléklet" sheetId="22" r:id="rId22"/>
    <sheet name="20.sz. melléklet" sheetId="23" r:id="rId23"/>
    <sheet name="21.melléklet" sheetId="24" r:id="rId24"/>
    <sheet name="22.melléklet" sheetId="25" r:id="rId25"/>
    <sheet name="23.melléklet" sheetId="26" r:id="rId26"/>
    <sheet name="24. sz. melléklet" sheetId="27" r:id="rId27"/>
    <sheet name="26. melléklet" sheetId="28" r:id="rId28"/>
  </sheets>
  <externalReferences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</externalReferences>
  <definedNames>
    <definedName name="c">#REF!</definedName>
    <definedName name="Excel_BuiltIn__FilterDatabase_5" localSheetId="0">#REF!</definedName>
    <definedName name="Excel_BuiltIn__FilterDatabase_5" localSheetId="12">'[9]4. sz. melléklet'!#REF!</definedName>
    <definedName name="Excel_BuiltIn__FilterDatabase_5" localSheetId="13">'[9]4. sz. melléklet'!#REF!</definedName>
    <definedName name="Excel_BuiltIn__FilterDatabase_5" localSheetId="14">#REF!</definedName>
    <definedName name="Excel_BuiltIn__FilterDatabase_5" localSheetId="15">#REF!</definedName>
    <definedName name="Excel_BuiltIn__FilterDatabase_5" localSheetId="18">#REF!</definedName>
    <definedName name="Excel_BuiltIn__FilterDatabase_5" localSheetId="19">NA()</definedName>
    <definedName name="Excel_BuiltIn__FilterDatabase_5" localSheetId="1">#REF!</definedName>
    <definedName name="Excel_BuiltIn__FilterDatabase_5" localSheetId="22">#N/A</definedName>
    <definedName name="Excel_BuiltIn__FilterDatabase_5" localSheetId="23">#N/A</definedName>
    <definedName name="Excel_BuiltIn__FilterDatabase_5" localSheetId="24">NA()</definedName>
    <definedName name="Excel_BuiltIn__FilterDatabase_5" localSheetId="25">#N/A</definedName>
    <definedName name="Excel_BuiltIn__FilterDatabase_5" localSheetId="2">#REF!</definedName>
    <definedName name="Excel_BuiltIn__FilterDatabase_5" localSheetId="3">#REF!</definedName>
    <definedName name="Excel_BuiltIn__FilterDatabase_5" localSheetId="4">'5.1 sz. melléklet'!#REF!</definedName>
    <definedName name="Excel_BuiltIn__FilterDatabase_5" localSheetId="5">'5.2. sz. melléklet'!#REF!</definedName>
    <definedName name="Excel_BuiltIn__FilterDatabase_5" localSheetId="6">#REF!</definedName>
    <definedName name="Excel_BuiltIn__FilterDatabase_5" localSheetId="8">'[9]4. sz. melléklet'!#REF!</definedName>
    <definedName name="Excel_BuiltIn__FilterDatabase_5" localSheetId="9">'[9]4. sz. melléklet'!#REF!</definedName>
    <definedName name="Excel_BuiltIn__FilterDatabase_5" localSheetId="10">#REF!</definedName>
    <definedName name="Excel_BuiltIn__FilterDatabase_5" localSheetId="11">#REF!</definedName>
    <definedName name="Excel_BuiltIn__FilterDatabase_5">#REF!</definedName>
    <definedName name="Excel_BuiltIn__FilterDatabase_5_1" localSheetId="0">'[7]4. sz. melléklet'!#REF!</definedName>
    <definedName name="Excel_BuiltIn__FilterDatabase_5_1" localSheetId="12">'[2]4. sz. melléklet'!#REF!</definedName>
    <definedName name="Excel_BuiltIn__FilterDatabase_5_1" localSheetId="13">'[2]4. sz. melléklet'!#REF!</definedName>
    <definedName name="Excel_BuiltIn__FilterDatabase_5_1" localSheetId="14">'[7]4. sz. melléklet'!#REF!</definedName>
    <definedName name="Excel_BuiltIn__FilterDatabase_5_1" localSheetId="15">'[8]4. sz. melléklet'!#REF!</definedName>
    <definedName name="Excel_BuiltIn__FilterDatabase_5_1" localSheetId="18">'[2]4. sz. melléklet'!#REF!</definedName>
    <definedName name="Excel_BuiltIn__FilterDatabase_5_1" localSheetId="1">'[7]4. sz. melléklet'!#REF!</definedName>
    <definedName name="Excel_BuiltIn__FilterDatabase_5_1" localSheetId="2">'[7]4. sz. melléklet'!#REF!</definedName>
    <definedName name="Excel_BuiltIn__FilterDatabase_5_1" localSheetId="3">'[7]4. sz. melléklet'!#REF!</definedName>
    <definedName name="Excel_BuiltIn__FilterDatabase_5_1" localSheetId="4">'[7]4. sz. melléklet'!#REF!</definedName>
    <definedName name="Excel_BuiltIn__FilterDatabase_5_1" localSheetId="5">'[7]4. sz. melléklet'!#REF!</definedName>
    <definedName name="Excel_BuiltIn__FilterDatabase_5_1" localSheetId="6">'[7]4. sz. melléklet'!#REF!</definedName>
    <definedName name="Excel_BuiltIn__FilterDatabase_5_1" localSheetId="8">'[2]4. sz. melléklet'!#REF!</definedName>
    <definedName name="Excel_BuiltIn__FilterDatabase_5_1" localSheetId="9">'[2]4. sz. melléklet'!#REF!</definedName>
    <definedName name="Excel_BuiltIn__FilterDatabase_5_1" localSheetId="10">'[2]4. sz. melléklet'!#REF!</definedName>
    <definedName name="Excel_BuiltIn__FilterDatabase_5_1" localSheetId="11">'[2]4. sz. melléklet'!#REF!</definedName>
    <definedName name="Excel_BuiltIn__FilterDatabase_5_1">'[2]4. sz. melléklet'!#REF!</definedName>
    <definedName name="Excel_BuiltIn__FilterDatabase_5_10" localSheetId="22">#N/A</definedName>
    <definedName name="Excel_BuiltIn__FilterDatabase_5_10" localSheetId="23">#N/A</definedName>
    <definedName name="Excel_BuiltIn__FilterDatabase_5_10" localSheetId="25">#N/A</definedName>
    <definedName name="Excel_BuiltIn__FilterDatabase_5_10">NA()</definedName>
    <definedName name="Excel_BuiltIn__FilterDatabase_5_11">'[4]4. sz. melléklet'!#REF!</definedName>
    <definedName name="Excel_BuiltIn__FilterDatabase_5_12">'[4]4. sz. melléklet'!#REF!</definedName>
    <definedName name="Excel_BuiltIn__FilterDatabase_5_13" localSheetId="0">#REF!</definedName>
    <definedName name="Excel_BuiltIn__FilterDatabase_5_13" localSheetId="12">#REF!</definedName>
    <definedName name="Excel_BuiltIn__FilterDatabase_5_13" localSheetId="13">#REF!</definedName>
    <definedName name="Excel_BuiltIn__FilterDatabase_5_13" localSheetId="14">#REF!</definedName>
    <definedName name="Excel_BuiltIn__FilterDatabase_5_13" localSheetId="15">#REF!</definedName>
    <definedName name="Excel_BuiltIn__FilterDatabase_5_13" localSheetId="18">#REF!</definedName>
    <definedName name="Excel_BuiltIn__FilterDatabase_5_13" localSheetId="1">#REF!</definedName>
    <definedName name="Excel_BuiltIn__FilterDatabase_5_13" localSheetId="2">#REF!</definedName>
    <definedName name="Excel_BuiltIn__FilterDatabase_5_13" localSheetId="3">#REF!</definedName>
    <definedName name="Excel_BuiltIn__FilterDatabase_5_13" localSheetId="4">#REF!</definedName>
    <definedName name="Excel_BuiltIn__FilterDatabase_5_13" localSheetId="5">#REF!</definedName>
    <definedName name="Excel_BuiltIn__FilterDatabase_5_13" localSheetId="6">#REF!</definedName>
    <definedName name="Excel_BuiltIn__FilterDatabase_5_13" localSheetId="8">#REF!</definedName>
    <definedName name="Excel_BuiltIn__FilterDatabase_5_13" localSheetId="9">#REF!</definedName>
    <definedName name="Excel_BuiltIn__FilterDatabase_5_13" localSheetId="10">#REF!</definedName>
    <definedName name="Excel_BuiltIn__FilterDatabase_5_13" localSheetId="11">#REF!</definedName>
    <definedName name="Excel_BuiltIn__FilterDatabase_5_13">#REF!</definedName>
    <definedName name="Excel_BuiltIn__FilterDatabase_5_15">'[5]4. sz. melléklet'!#REF!</definedName>
    <definedName name="Excel_BuiltIn__FilterDatabase_5_17" localSheetId="0">#REF!</definedName>
    <definedName name="Excel_BuiltIn__FilterDatabase_5_17" localSheetId="12">#REF!</definedName>
    <definedName name="Excel_BuiltIn__FilterDatabase_5_17" localSheetId="13">#REF!</definedName>
    <definedName name="Excel_BuiltIn__FilterDatabase_5_17" localSheetId="14">#REF!</definedName>
    <definedName name="Excel_BuiltIn__FilterDatabase_5_17" localSheetId="15">#REF!</definedName>
    <definedName name="Excel_BuiltIn__FilterDatabase_5_17" localSheetId="18">#REF!</definedName>
    <definedName name="Excel_BuiltIn__FilterDatabase_5_17" localSheetId="1">#REF!</definedName>
    <definedName name="Excel_BuiltIn__FilterDatabase_5_17" localSheetId="2">#REF!</definedName>
    <definedName name="Excel_BuiltIn__FilterDatabase_5_17" localSheetId="3">#REF!</definedName>
    <definedName name="Excel_BuiltIn__FilterDatabase_5_17" localSheetId="4">#REF!</definedName>
    <definedName name="Excel_BuiltIn__FilterDatabase_5_17" localSheetId="5">#REF!</definedName>
    <definedName name="Excel_BuiltIn__FilterDatabase_5_17" localSheetId="6">#REF!</definedName>
    <definedName name="Excel_BuiltIn__FilterDatabase_5_17" localSheetId="8">#REF!</definedName>
    <definedName name="Excel_BuiltIn__FilterDatabase_5_17" localSheetId="9">#REF!</definedName>
    <definedName name="Excel_BuiltIn__FilterDatabase_5_17" localSheetId="10">#REF!</definedName>
    <definedName name="Excel_BuiltIn__FilterDatabase_5_17" localSheetId="11">#REF!</definedName>
    <definedName name="Excel_BuiltIn__FilterDatabase_5_17">#REF!</definedName>
    <definedName name="Excel_BuiltIn__FilterDatabase_5_5">'[3]4.A sz. melléklet'!#REF!</definedName>
    <definedName name="Excel_BuiltIn__FilterDatabase_5_6">'[3]4.B-C. sz. melléklet'!#REF!</definedName>
    <definedName name="Excel_BuiltIn__FilterDatabase_5_7" localSheetId="22">#N/A</definedName>
    <definedName name="Excel_BuiltIn__FilterDatabase_5_7" localSheetId="23">#N/A</definedName>
    <definedName name="Excel_BuiltIn__FilterDatabase_5_7" localSheetId="25">#N/A</definedName>
    <definedName name="Excel_BuiltIn__FilterDatabase_5_7">NA()</definedName>
    <definedName name="Excel_BuiltIn__FilterDatabase_5_8" localSheetId="19">NA()</definedName>
    <definedName name="Excel_BuiltIn__FilterDatabase_5_8" localSheetId="22">#N/A</definedName>
    <definedName name="Excel_BuiltIn__FilterDatabase_5_8" localSheetId="23">#N/A</definedName>
    <definedName name="Excel_BuiltIn__FilterDatabase_5_8" localSheetId="24">NA()</definedName>
    <definedName name="Excel_BuiltIn__FilterDatabase_5_8" localSheetId="25">#N/A</definedName>
    <definedName name="Excel_BuiltIn__FilterDatabase_5_8">'[4]4. sz. melléklet'!#REF!</definedName>
    <definedName name="Excel_BuiltIn__FilterDatabase_5_9">'[4]4. sz. melléklet'!#REF!</definedName>
    <definedName name="Excel_BuiltIn_Print_Area_1" localSheetId="0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8">#REF!</definedName>
    <definedName name="Excel_BuiltIn_Print_Area_1" localSheetId="19">NA()</definedName>
    <definedName name="Excel_BuiltIn_Print_Area_1" localSheetId="1">#REF!</definedName>
    <definedName name="Excel_BuiltIn_Print_Area_1" localSheetId="22">#N/A</definedName>
    <definedName name="Excel_BuiltIn_Print_Area_1" localSheetId="23">#N/A</definedName>
    <definedName name="Excel_BuiltIn_Print_Area_1" localSheetId="24">NA()</definedName>
    <definedName name="Excel_BuiltIn_Print_Area_1" localSheetId="25">#N/A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8">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>#REF!</definedName>
    <definedName name="Excel_BuiltIn_Print_Area_1_1" localSheetId="22">#N/A</definedName>
    <definedName name="Excel_BuiltIn_Print_Area_1_1" localSheetId="23">#N/A</definedName>
    <definedName name="Excel_BuiltIn_Print_Area_1_1" localSheetId="25">#N/A</definedName>
    <definedName name="Excel_BuiltIn_Print_Area_1_1">NA()</definedName>
    <definedName name="Excel_BuiltIn_Print_Area_1_15" localSheetId="0">#REF!</definedName>
    <definedName name="Excel_BuiltIn_Print_Area_1_15" localSheetId="12">#REF!</definedName>
    <definedName name="Excel_BuiltIn_Print_Area_1_15" localSheetId="13">#REF!</definedName>
    <definedName name="Excel_BuiltIn_Print_Area_1_15" localSheetId="14">#REF!</definedName>
    <definedName name="Excel_BuiltIn_Print_Area_1_15" localSheetId="15">#REF!</definedName>
    <definedName name="Excel_BuiltIn_Print_Area_1_15" localSheetId="18">#REF!</definedName>
    <definedName name="Excel_BuiltIn_Print_Area_1_15" localSheetId="1">#REF!</definedName>
    <definedName name="Excel_BuiltIn_Print_Area_1_15" localSheetId="2">#REF!</definedName>
    <definedName name="Excel_BuiltIn_Print_Area_1_15" localSheetId="3">#REF!</definedName>
    <definedName name="Excel_BuiltIn_Print_Area_1_15" localSheetId="4">#REF!</definedName>
    <definedName name="Excel_BuiltIn_Print_Area_1_15" localSheetId="5">#REF!</definedName>
    <definedName name="Excel_BuiltIn_Print_Area_1_15" localSheetId="6">#REF!</definedName>
    <definedName name="Excel_BuiltIn_Print_Area_1_15" localSheetId="8">#REF!</definedName>
    <definedName name="Excel_BuiltIn_Print_Area_1_15" localSheetId="9">#REF!</definedName>
    <definedName name="Excel_BuiltIn_Print_Area_1_15" localSheetId="10">#REF!</definedName>
    <definedName name="Excel_BuiltIn_Print_Area_1_15" localSheetId="11">#REF!</definedName>
    <definedName name="Excel_BuiltIn_Print_Area_1_15">#REF!</definedName>
    <definedName name="Excel_BuiltIn_Print_Area_1_21">'[3]18.'!#REF!</definedName>
    <definedName name="Excel_BuiltIn_Print_Area_1_22">'[3]19.'!#REF!</definedName>
    <definedName name="Excel_BuiltIn_Print_Area_2" localSheetId="0">#REF!</definedName>
    <definedName name="Excel_BuiltIn_Print_Area_2" localSheetId="12">#REF!</definedName>
    <definedName name="Excel_BuiltIn_Print_Area_2" localSheetId="13">#REF!</definedName>
    <definedName name="Excel_BuiltIn_Print_Area_2" localSheetId="14">#REF!</definedName>
    <definedName name="Excel_BuiltIn_Print_Area_2" localSheetId="15">#REF!</definedName>
    <definedName name="Excel_BuiltIn_Print_Area_2" localSheetId="18">#REF!</definedName>
    <definedName name="Excel_BuiltIn_Print_Area_2" localSheetId="19">NA()</definedName>
    <definedName name="Excel_BuiltIn_Print_Area_2" localSheetId="1">#REF!</definedName>
    <definedName name="Excel_BuiltIn_Print_Area_2" localSheetId="22">#N/A</definedName>
    <definedName name="Excel_BuiltIn_Print_Area_2" localSheetId="23">#N/A</definedName>
    <definedName name="Excel_BuiltIn_Print_Area_2" localSheetId="24">NA()</definedName>
    <definedName name="Excel_BuiltIn_Print_Area_2" localSheetId="25">#N/A</definedName>
    <definedName name="Excel_BuiltIn_Print_Area_2" localSheetId="2">#REF!</definedName>
    <definedName name="Excel_BuiltIn_Print_Area_2" localSheetId="3">#REF!</definedName>
    <definedName name="Excel_BuiltIn_Print_Area_2" localSheetId="4">#REF!</definedName>
    <definedName name="Excel_BuiltIn_Print_Area_2" localSheetId="5">#REF!</definedName>
    <definedName name="Excel_BuiltIn_Print_Area_2" localSheetId="6">#REF!</definedName>
    <definedName name="Excel_BuiltIn_Print_Area_2" localSheetId="8">#REF!</definedName>
    <definedName name="Excel_BuiltIn_Print_Area_2" localSheetId="9">#REF!</definedName>
    <definedName name="Excel_BuiltIn_Print_Area_2" localSheetId="10">#REF!</definedName>
    <definedName name="Excel_BuiltIn_Print_Area_2" localSheetId="11">#REF!</definedName>
    <definedName name="Excel_BuiltIn_Print_Area_2">#REF!</definedName>
    <definedName name="Excel_BuiltIn_Print_Area_21" localSheetId="0">#REF!</definedName>
    <definedName name="Excel_BuiltIn_Print_Area_21" localSheetId="12">#REF!</definedName>
    <definedName name="Excel_BuiltIn_Print_Area_21" localSheetId="13">#REF!</definedName>
    <definedName name="Excel_BuiltIn_Print_Area_21" localSheetId="14">#REF!</definedName>
    <definedName name="Excel_BuiltIn_Print_Area_21" localSheetId="15">#REF!</definedName>
    <definedName name="Excel_BuiltIn_Print_Area_21" localSheetId="18">#REF!</definedName>
    <definedName name="Excel_BuiltIn_Print_Area_21" localSheetId="1">#REF!</definedName>
    <definedName name="Excel_BuiltIn_Print_Area_21" localSheetId="2">#REF!</definedName>
    <definedName name="Excel_BuiltIn_Print_Area_21" localSheetId="3">#REF!</definedName>
    <definedName name="Excel_BuiltIn_Print_Area_21" localSheetId="4">#REF!</definedName>
    <definedName name="Excel_BuiltIn_Print_Area_21" localSheetId="5">#REF!</definedName>
    <definedName name="Excel_BuiltIn_Print_Area_21" localSheetId="6">#REF!</definedName>
    <definedName name="Excel_BuiltIn_Print_Area_21" localSheetId="8">#REF!</definedName>
    <definedName name="Excel_BuiltIn_Print_Area_21" localSheetId="9">#REF!</definedName>
    <definedName name="Excel_BuiltIn_Print_Area_21" localSheetId="10">#REF!</definedName>
    <definedName name="Excel_BuiltIn_Print_Area_21" localSheetId="11">#REF!</definedName>
    <definedName name="Excel_BuiltIn_Print_Area_21">#REF!</definedName>
    <definedName name="Excel_BuiltIn_Print_Area_2_1" localSheetId="18">#REF!</definedName>
    <definedName name="Excel_BuiltIn_Print_Area_2_1" localSheetId="22">#N/A</definedName>
    <definedName name="Excel_BuiltIn_Print_Area_2_1" localSheetId="23">#N/A</definedName>
    <definedName name="Excel_BuiltIn_Print_Area_2_1" localSheetId="25">#N/A</definedName>
    <definedName name="Excel_BuiltIn_Print_Area_2_1">NA()</definedName>
    <definedName name="Excel_BuiltIn_Print_Area_2_15" localSheetId="0">#REF!</definedName>
    <definedName name="Excel_BuiltIn_Print_Area_2_15" localSheetId="12">#REF!</definedName>
    <definedName name="Excel_BuiltIn_Print_Area_2_15" localSheetId="13">#REF!</definedName>
    <definedName name="Excel_BuiltIn_Print_Area_2_15" localSheetId="14">#REF!</definedName>
    <definedName name="Excel_BuiltIn_Print_Area_2_15" localSheetId="15">#REF!</definedName>
    <definedName name="Excel_BuiltIn_Print_Area_2_15" localSheetId="18">#REF!</definedName>
    <definedName name="Excel_BuiltIn_Print_Area_2_15" localSheetId="1">#REF!</definedName>
    <definedName name="Excel_BuiltIn_Print_Area_2_15" localSheetId="2">#REF!</definedName>
    <definedName name="Excel_BuiltIn_Print_Area_2_15" localSheetId="3">#REF!</definedName>
    <definedName name="Excel_BuiltIn_Print_Area_2_15" localSheetId="4">#REF!</definedName>
    <definedName name="Excel_BuiltIn_Print_Area_2_15" localSheetId="5">#REF!</definedName>
    <definedName name="Excel_BuiltIn_Print_Area_2_15" localSheetId="6">#REF!</definedName>
    <definedName name="Excel_BuiltIn_Print_Area_2_15" localSheetId="8">#REF!</definedName>
    <definedName name="Excel_BuiltIn_Print_Area_2_15" localSheetId="9">#REF!</definedName>
    <definedName name="Excel_BuiltIn_Print_Area_2_15" localSheetId="10">#REF!</definedName>
    <definedName name="Excel_BuiltIn_Print_Area_2_15" localSheetId="11">#REF!</definedName>
    <definedName name="Excel_BuiltIn_Print_Area_2_15">#REF!</definedName>
    <definedName name="Excel_BuiltIn_Print_Area_2_5" localSheetId="0">#REF!</definedName>
    <definedName name="Excel_BuiltIn_Print_Area_2_5" localSheetId="12">#REF!</definedName>
    <definedName name="Excel_BuiltIn_Print_Area_2_5" localSheetId="13">#REF!</definedName>
    <definedName name="Excel_BuiltIn_Print_Area_2_5" localSheetId="14">#REF!</definedName>
    <definedName name="Excel_BuiltIn_Print_Area_2_5" localSheetId="15">#REF!</definedName>
    <definedName name="Excel_BuiltIn_Print_Area_2_5" localSheetId="18">#REF!</definedName>
    <definedName name="Excel_BuiltIn_Print_Area_2_5" localSheetId="19">NA()</definedName>
    <definedName name="Excel_BuiltIn_Print_Area_2_5" localSheetId="1">#REF!</definedName>
    <definedName name="Excel_BuiltIn_Print_Area_2_5" localSheetId="22">#N/A</definedName>
    <definedName name="Excel_BuiltIn_Print_Area_2_5" localSheetId="23">#N/A</definedName>
    <definedName name="Excel_BuiltIn_Print_Area_2_5" localSheetId="24">NA()</definedName>
    <definedName name="Excel_BuiltIn_Print_Area_2_5" localSheetId="25">#N/A</definedName>
    <definedName name="Excel_BuiltIn_Print_Area_2_5" localSheetId="2">#REF!</definedName>
    <definedName name="Excel_BuiltIn_Print_Area_2_5" localSheetId="3">#REF!</definedName>
    <definedName name="Excel_BuiltIn_Print_Area_2_5" localSheetId="4">#REF!</definedName>
    <definedName name="Excel_BuiltIn_Print_Area_2_5" localSheetId="5">#REF!</definedName>
    <definedName name="Excel_BuiltIn_Print_Area_2_5" localSheetId="6">#REF!</definedName>
    <definedName name="Excel_BuiltIn_Print_Area_2_5" localSheetId="8">#REF!</definedName>
    <definedName name="Excel_BuiltIn_Print_Area_2_5" localSheetId="9">#REF!</definedName>
    <definedName name="Excel_BuiltIn_Print_Area_2_5" localSheetId="10">#REF!</definedName>
    <definedName name="Excel_BuiltIn_Print_Area_2_5" localSheetId="11">#REF!</definedName>
    <definedName name="Excel_BuiltIn_Print_Area_2_5">#REF!</definedName>
    <definedName name="Excel_BuiltIn_Print_Area_2_6" localSheetId="0">#REF!</definedName>
    <definedName name="Excel_BuiltIn_Print_Area_2_6" localSheetId="12">#REF!</definedName>
    <definedName name="Excel_BuiltIn_Print_Area_2_6" localSheetId="13">#REF!</definedName>
    <definedName name="Excel_BuiltIn_Print_Area_2_6" localSheetId="14">#REF!</definedName>
    <definedName name="Excel_BuiltIn_Print_Area_2_6" localSheetId="15">#REF!</definedName>
    <definedName name="Excel_BuiltIn_Print_Area_2_6" localSheetId="18">#REF!</definedName>
    <definedName name="Excel_BuiltIn_Print_Area_2_6" localSheetId="1">#REF!</definedName>
    <definedName name="Excel_BuiltIn_Print_Area_2_6" localSheetId="2">#REF!</definedName>
    <definedName name="Excel_BuiltIn_Print_Area_2_6" localSheetId="3">#REF!</definedName>
    <definedName name="Excel_BuiltIn_Print_Area_2_6" localSheetId="4">#REF!</definedName>
    <definedName name="Excel_BuiltIn_Print_Area_2_6" localSheetId="5">#REF!</definedName>
    <definedName name="Excel_BuiltIn_Print_Area_2_6" localSheetId="6">#REF!</definedName>
    <definedName name="Excel_BuiltIn_Print_Area_2_6" localSheetId="8">#REF!</definedName>
    <definedName name="Excel_BuiltIn_Print_Area_2_6" localSheetId="9">#REF!</definedName>
    <definedName name="Excel_BuiltIn_Print_Area_2_6" localSheetId="10">#REF!</definedName>
    <definedName name="Excel_BuiltIn_Print_Area_2_6" localSheetId="11">#REF!</definedName>
    <definedName name="Excel_BuiltIn_Print_Area_2_6">#REF!</definedName>
    <definedName name="Excel_BuiltIn_Print_Titles_6">'[3]4.B-C. sz. melléklet'!#REF!</definedName>
    <definedName name="fff">#REF!</definedName>
    <definedName name="_xlnm.Print_Titles" localSheetId="12">'10. sz. melléklet'!$4:$4</definedName>
    <definedName name="_xlnm.Print_Titles" localSheetId="4">'5.1 sz. melléklet'!$6:$8</definedName>
    <definedName name="_xlnm.Print_Titles" localSheetId="5">'5.2. sz. melléklet'!$7:$9</definedName>
    <definedName name="_xlnm.Print_Titles" localSheetId="7">'6.sz. melléklet'!$2:$3</definedName>
    <definedName name="_xlnm.Print_Area" localSheetId="0">'1.sz. melléklet'!$A$1:$L$62</definedName>
    <definedName name="_xlnm.Print_Area" localSheetId="12">'10. sz. melléklet'!$A$1:$E$106</definedName>
    <definedName name="_xlnm.Print_Area" localSheetId="13">'11. sz. melléklet'!$A$1:$E$83</definedName>
    <definedName name="_xlnm.Print_Area" localSheetId="14">'12. sz. melléklet'!$A$1:$D$44</definedName>
    <definedName name="_xlnm.Print_Area" localSheetId="15">'13. sz. melléklet '!$A$1:$D$44</definedName>
    <definedName name="_xlnm.Print_Area" localSheetId="18">'16. sz. melléklet'!$A$1:$D$208</definedName>
    <definedName name="_xlnm.Print_Area" localSheetId="19">'17. sz. melléklet'!$A$1:$J$41</definedName>
    <definedName name="_xlnm.Print_Area" localSheetId="20">'18.sz. melléklet'!$A$3:$I$90</definedName>
    <definedName name="_xlnm.Print_Area" localSheetId="21">'19. melléklet'!$A$1:$P$38</definedName>
    <definedName name="_xlnm.Print_Area" localSheetId="1">'2. sz. melléklet'!$A$1:$H$68</definedName>
    <definedName name="_xlnm.Print_Area" localSheetId="26">'24. sz. melléklet'!$A$1:$F$30</definedName>
    <definedName name="_xlnm.Print_Area" localSheetId="2">'3. sz. melléklet'!$A$1:$S$61</definedName>
    <definedName name="_xlnm.Print_Area" localSheetId="3">'4. sz. melléklet'!$A$1:$U$46</definedName>
    <definedName name="_xlnm.Print_Area" localSheetId="4">'5.1 sz. melléklet'!$A$1:$N$257</definedName>
    <definedName name="_xlnm.Print_Area" localSheetId="5">'5.2. sz. melléklet'!$A$1:$N$102</definedName>
    <definedName name="_xlnm.Print_Area" localSheetId="6">'5.3.sz. melléklet'!$A$1:$N$14</definedName>
    <definedName name="_xlnm.Print_Area" localSheetId="7">'6.sz. melléklet'!$A$1:$AE$160</definedName>
    <definedName name="_xlnm.Print_Area" localSheetId="8">'7. sz. melléklet'!$A$1:$E$150</definedName>
    <definedName name="_xlnm.Print_Area" localSheetId="9">'8. sz. melléklet '!$A$1:$E$77</definedName>
    <definedName name="_xlnm.Print_Area" localSheetId="10">'9. sz. melléklet'!$A$1:$I$43</definedName>
    <definedName name="_xlnm.Print_Area" localSheetId="11">'9.sz.melléklet (2)'!$A$1:$E$26</definedName>
    <definedName name="SHARED_FORMULA_1_10_1_10_2">SUM(#REF!,#REF!,#REF!,#REF!,#REF!,#REF!)</definedName>
    <definedName name="SHARED_FORMULA_1_26_1_26_2">SUM(#REF!,#REF!,#REF!)</definedName>
    <definedName name="SHARED_FORMULA_1_38_1_38_8">SUM(#REF!)</definedName>
    <definedName name="SHARED_FORMULA_1_42_1_42_8">SUM(#REF!,#REF!)</definedName>
    <definedName name="SHARED_FORMULA_10_41_10_41_2">SUM(#REF!+#REF!+#REF!)</definedName>
    <definedName name="SHARED_FORMULA_10_5_10_5_2">SUM(#REF!+#REF!+#REF!)</definedName>
    <definedName name="SHARED_FORMULA_11_40_11_40_2">SUM(#REF!+#REF!+#REF!)</definedName>
    <definedName name="SHARED_FORMULA_11_5_11_5_2">SUM(#REF!+#REF!+#REF!)</definedName>
    <definedName name="SHARED_FORMULA_12_13_12_13_3">SUM(#REF!+#REF!+#REF!)</definedName>
    <definedName name="SHARED_FORMULA_12_133_12_133_5">SUM(#REF!)-#REF!-#REF!-#REF!</definedName>
    <definedName name="SHARED_FORMULA_12_40_12_40_2">SUM(#REF!+#REF!+#REF!)</definedName>
    <definedName name="SHARED_FORMULA_12_5_12_5_2">SUM(#REF!+#REF!+#REF!)</definedName>
    <definedName name="SHARED_FORMULA_12_5_12_5_3">SUM(#REF!+#REF!+#REF!)</definedName>
    <definedName name="SHARED_FORMULA_12_6_12_6_0">#REF!/#REF!*100</definedName>
    <definedName name="SHARED_FORMULA_13_105_13_105_5">SUM(#REF!)-#REF!</definedName>
    <definedName name="SHARED_FORMULA_13_3_13_3_5">SUM(#REF!)-#REF!</definedName>
    <definedName name="SHARED_FORMULA_13_41_13_41_5">SUM(#REF!)-#REF!</definedName>
    <definedName name="SHARED_FORMULA_13_73_13_73_5">SUM(#REF!)-#REF!</definedName>
    <definedName name="SHARED_FORMULA_13_9_13_9_3">SUM(#REF!+#REF!+#REF!)</definedName>
    <definedName name="SHARED_FORMULA_14_102_14_102_5">#REF!</definedName>
    <definedName name="SHARED_FORMULA_14_121_14_121_5">#REF!+#REF!+#REF!+#REF!</definedName>
    <definedName name="SHARED_FORMULA_14_131_14_131_5">#REF!+#REF!+#REF!+#REF!+#REF!+#REF!+#REF!+#REF!+#REF!+#REF!+#REF!+#REF!+#REF!+#REF!+#REF!+#REF!+#REF!+#REF!+#REF!+#REF!+#REF!+#REF!+#REF!</definedName>
    <definedName name="SHARED_FORMULA_14_150_14_150_5">#REF!+#REF!</definedName>
    <definedName name="SHARED_FORMULA_14_151_14_151_5">#REF!-#REF!</definedName>
    <definedName name="SHARED_FORMULA_14_71_14_71_5">#REF!+#REF!+#REF!+#REF!</definedName>
    <definedName name="SHARED_FORMULA_14_72_14_72_5">#REF!+#REF!+#REF!+#REF!</definedName>
    <definedName name="SHARED_FORMULA_14_73_14_73_5">#REF!+#REF!+#REF!+#REF!</definedName>
    <definedName name="SHARED_FORMULA_14_74_14_74_5">#REF!+#REF!+#REF!+#REF!</definedName>
    <definedName name="SHARED_FORMULA_14_75_14_75_5">#REF!+#REF!+#REF!+#REF!</definedName>
    <definedName name="SHARED_FORMULA_14_86_14_86_5">#REF!+#REF!</definedName>
    <definedName name="SHARED_FORMULA_14_9_14_9_3">SUM(#REF!+#REF!+#REF!)</definedName>
    <definedName name="SHARED_FORMULA_16_112_16_112_5">#REF!</definedName>
    <definedName name="SHARED_FORMULA_17_108_17_108_5">#REF!</definedName>
    <definedName name="SHARED_FORMULA_17_117_17_117_5">#REF!</definedName>
    <definedName name="SHARED_FORMULA_17_127_17_127_5">#REF!</definedName>
    <definedName name="SHARED_FORMULA_17_22_17_22_5">#REF!</definedName>
    <definedName name="SHARED_FORMULA_17_27_17_27_5">#REF!</definedName>
    <definedName name="SHARED_FORMULA_17_32_17_32_5">#REF!</definedName>
    <definedName name="SHARED_FORMULA_17_37_17_37_5">#REF!</definedName>
    <definedName name="SHARED_FORMULA_17_4_17_4_5">#REF!</definedName>
    <definedName name="SHARED_FORMULA_17_43_17_43_5">#REF!</definedName>
    <definedName name="SHARED_FORMULA_17_47_17_47_5">#REF!</definedName>
    <definedName name="SHARED_FORMULA_17_52_17_52_5">#REF!</definedName>
    <definedName name="SHARED_FORMULA_17_57_17_57_5">#REF!</definedName>
    <definedName name="SHARED_FORMULA_17_62_17_62_5">#REF!</definedName>
    <definedName name="SHARED_FORMULA_17_67_17_67_5">#REF!</definedName>
    <definedName name="SHARED_FORMULA_17_77_17_77_5">#REF!</definedName>
    <definedName name="SHARED_FORMULA_17_82_17_82_5">#REF!</definedName>
    <definedName name="SHARED_FORMULA_17_9_17_9_5">#REF!</definedName>
    <definedName name="SHARED_FORMULA_17_92_17_92_5">#REF!</definedName>
    <definedName name="SHARED_FORMULA_17_97_17_97_5">#REF!</definedName>
    <definedName name="SHARED_FORMULA_2_102_2_102_5">#REF!</definedName>
    <definedName name="SHARED_FORMULA_2_107_2_107_5">#REF!</definedName>
    <definedName name="SHARED_FORMULA_2_112_2_112_5">#REF!</definedName>
    <definedName name="SHARED_FORMULA_2_121_2_121_5">#REF!+#REF!+#REF!+#REF!</definedName>
    <definedName name="SHARED_FORMULA_2_122_2_122_5">#REF!+#REF!+#REF!+#REF!</definedName>
    <definedName name="SHARED_FORMULA_2_123_2_123_5">#REF!+#REF!+#REF!+#REF!</definedName>
    <definedName name="SHARED_FORMULA_2_124_2_124_5">#REF!+#REF!+#REF!+#REF!</definedName>
    <definedName name="SHARED_FORMULA_2_125_2_125_5">#REF!+#REF!+#REF!+#REF!</definedName>
    <definedName name="SHARED_FORMULA_2_127_2_127_5">#REF!</definedName>
    <definedName name="SHARED_FORMULA_2_131_2_131_5">#REF!+#REF!+#REF!+#REF!+#REF!+#REF!+#REF!+#REF!+#REF!+#REF!+#REF!+#REF!+#REF!+#REF!+#REF!+#REF!+#REF!+#REF!+#REF!+#REF!+#REF!+#REF!+#REF!</definedName>
    <definedName name="SHARED_FORMULA_2_132_2_132_5">#REF!+#REF!+#REF!+#REF!+#REF!+#REF!+#REF!+#REF!+#REF!+#REF!+#REF!+#REF!+#REF!+#REF!+#REF!+#REF!+#REF!+#REF!+#REF!+#REF!+#REF!+#REF!+#REF!</definedName>
    <definedName name="SHARED_FORMULA_2_134_2_134_5">#REF!+#REF!+#REF!+#REF!+#REF!+#REF!+#REF!+#REF!+#REF!+#REF!+#REF!+#REF!+#REF!+#REF!+#REF!+#REF!+#REF!+#REF!+#REF!+#REF!+#REF!+#REF!+#REF!</definedName>
    <definedName name="SHARED_FORMULA_2_137_2_137_5">#REF!+#REF!+#REF!+#REF!+#REF!+#REF!+#REF!+#REF!+#REF!+#REF!+#REF!+#REF!+#REF!+#REF!+#REF!+#REF!+#REF!+#REF!+#REF!+#REF!+#REF!+#REF!+#REF!</definedName>
    <definedName name="SHARED_FORMULA_2_14_2_14_5">#REF!</definedName>
    <definedName name="SHARED_FORMULA_2_140_2_140_5">#REF!+#REF!+#REF!+#REF!+#REF!+#REF!+#REF!+#REF!+#REF!+#REF!+#REF!+#REF!+#REF!+#REF!+#REF!+#REF!+#REF!+#REF!+#REF!+#REF!+#REF!+#REF!</definedName>
    <definedName name="SHARED_FORMULA_2_141_2_141_5">#REF!+#REF!+#REF!+#REF!+#REF!+#REF!+#REF!+#REF!+#REF!+#REF!+#REF!+#REF!+#REF!+#REF!+#REF!+#REF!+#REF!+#REF!+#REF!+#REF!+#REF!+#REF!</definedName>
    <definedName name="SHARED_FORMULA_2_142_2_142_5">#REF!+#REF!+#REF!+#REF!+#REF!+#REF!+#REF!+#REF!+#REF!+#REF!+#REF!+#REF!+#REF!+#REF!+#REF!+#REF!+#REF!+#REF!+#REF!+#REF!+#REF!+#REF!</definedName>
    <definedName name="SHARED_FORMULA_2_143_2_143_5">#REF!+#REF!+#REF!+#REF!+#REF!+#REF!+#REF!+#REF!+#REF!+#REF!+#REF!+#REF!+#REF!+#REF!+#REF!+#REF!+#REF!+#REF!+#REF!+#REF!+#REF!+#REF!</definedName>
    <definedName name="SHARED_FORMULA_2_144_2_144_5">#REF!+#REF!+#REF!+#REF!+#REF!+#REF!+#REF!+#REF!+#REF!+#REF!+#REF!+#REF!+#REF!+#REF!+#REF!+#REF!+#REF!+#REF!+#REF!+#REF!+#REF!+#REF!</definedName>
    <definedName name="SHARED_FORMULA_2_145_2_145_5">#REF!+#REF!+#REF!+#REF!+#REF!+#REF!+#REF!+#REF!+#REF!+#REF!+#REF!+#REF!+#REF!+#REF!+#REF!+#REF!+#REF!+#REF!+#REF!+#REF!+#REF!+#REF!</definedName>
    <definedName name="SHARED_FORMULA_2_146_2_146_5">#REF!-#REF!</definedName>
    <definedName name="SHARED_FORMULA_2_22_2_22_5">#REF!</definedName>
    <definedName name="SHARED_FORMULA_2_27_2_27_5">#REF!</definedName>
    <definedName name="SHARED_FORMULA_2_32_2_32_5">#REF!</definedName>
    <definedName name="SHARED_FORMULA_2_37_2_37_5">#REF!</definedName>
    <definedName name="SHARED_FORMULA_2_4_2_4_5">#REF!</definedName>
    <definedName name="SHARED_FORMULA_2_42_2_42_5">#REF!</definedName>
    <definedName name="SHARED_FORMULA_2_44_2_44_5">#REF!</definedName>
    <definedName name="SHARED_FORMULA_2_47_2_47_5">#REF!</definedName>
    <definedName name="SHARED_FORMULA_2_48_2_48_5">#REF!</definedName>
    <definedName name="SHARED_FORMULA_2_52_2_52_5">#REF!</definedName>
    <definedName name="SHARED_FORMULA_2_57_2_57_5">#REF!</definedName>
    <definedName name="SHARED_FORMULA_2_67_2_67_5">#REF!</definedName>
    <definedName name="SHARED_FORMULA_2_71_2_71_5">#REF!+#REF!+#REF!+#REF!</definedName>
    <definedName name="SHARED_FORMULA_2_72_2_72_5">#REF!+#REF!+#REF!+#REF!</definedName>
    <definedName name="SHARED_FORMULA_2_73_2_73_5">#REF!+#REF!+#REF!+#REF!</definedName>
    <definedName name="SHARED_FORMULA_2_74_2_74_5">#REF!+#REF!+#REF!+#REF!</definedName>
    <definedName name="SHARED_FORMULA_2_75_2_75_5">#REF!+#REF!+#REF!+#REF!</definedName>
    <definedName name="SHARED_FORMULA_2_82_2_82_5">#REF!</definedName>
    <definedName name="SHARED_FORMULA_2_86_2_86_5">#REF!+#REF!</definedName>
    <definedName name="SHARED_FORMULA_2_87_2_87_5">#REF!+#REF!</definedName>
    <definedName name="SHARED_FORMULA_2_88_2_88_5">#REF!+#REF!</definedName>
    <definedName name="SHARED_FORMULA_2_89_2_89_5">#REF!+#REF!</definedName>
    <definedName name="SHARED_FORMULA_2_9_2_9_5">#REF!</definedName>
    <definedName name="SHARED_FORMULA_2_90_2_90_5">#REF!+#REF!</definedName>
    <definedName name="SHARED_FORMULA_2_92_2_92_5">#REF!</definedName>
    <definedName name="SHARED_FORMULA_2_97_2_97_5">#REF!</definedName>
    <definedName name="SHARED_FORMULA_20_10_20_10_5">#REF!</definedName>
    <definedName name="SHARED_FORMULA_20_102_20_102_5">#REF!</definedName>
    <definedName name="SHARED_FORMULA_20_112_20_112_5">#REF!</definedName>
    <definedName name="SHARED_FORMULA_20_117_20_117_5">#REF!</definedName>
    <definedName name="SHARED_FORMULA_20_121_20_121_5">#REF!+#REF!+#REF!+#REF!</definedName>
    <definedName name="SHARED_FORMULA_20_127_20_127_5">#REF!</definedName>
    <definedName name="SHARED_FORMULA_20_131_20_131_5">#REF!+#REF!+#REF!+#REF!+#REF!+#REF!+#REF!+#REF!+#REF!+#REF!+#REF!+#REF!+#REF!+#REF!+#REF!+#REF!+#REF!+#REF!+#REF!+#REF!+#REF!+#REF!+#REF!</definedName>
    <definedName name="SHARED_FORMULA_20_14_20_14_5">#REF!</definedName>
    <definedName name="SHARED_FORMULA_20_141_20_141_5">#REF!+#REF!+#REF!+#REF!+#REF!+#REF!+#REF!+#REF!+#REF!+#REF!+#REF!+#REF!+#REF!+#REF!+#REF!+#REF!+#REF!+#REF!+#REF!+#REF!+#REF!+#REF!</definedName>
    <definedName name="SHARED_FORMULA_20_19_20_19_5">#REF!</definedName>
    <definedName name="SHARED_FORMULA_20_22_20_22_5">#REF!</definedName>
    <definedName name="SHARED_FORMULA_20_27_20_27_5">#REF!</definedName>
    <definedName name="SHARED_FORMULA_20_33_20_33_5">#REF!</definedName>
    <definedName name="SHARED_FORMULA_20_37_20_37_5">#REF!</definedName>
    <definedName name="SHARED_FORMULA_20_42_20_42_5">#REF!</definedName>
    <definedName name="SHARED_FORMULA_20_57_20_57_5">#REF!</definedName>
    <definedName name="SHARED_FORMULA_20_63_20_63_5">#REF!</definedName>
    <definedName name="SHARED_FORMULA_20_67_20_67_5">#REF!</definedName>
    <definedName name="SHARED_FORMULA_20_78_20_78_5">#REF!</definedName>
    <definedName name="SHARED_FORMULA_20_82_20_82_5">#REF!</definedName>
    <definedName name="SHARED_FORMULA_20_86_20_86_5">#REF!+#REF!</definedName>
    <definedName name="SHARED_FORMULA_20_92_20_92_5">#REF!</definedName>
    <definedName name="SHARED_FORMULA_23_3_23_3_5">SUM(#REF!)-#REF!</definedName>
    <definedName name="SHARED_FORMULA_23_32_23_32_5">SUM(#REF!)-#REF!</definedName>
    <definedName name="SHARED_FORMULA_23_64_23_64_5">SUM(#REF!)-#REF!</definedName>
    <definedName name="SHARED_FORMULA_23_96_23_96_5">SUM(#REF!)-#REF!</definedName>
    <definedName name="SHARED_FORMULA_25_131_25_131_5">SUM(#REF!)-#REF!</definedName>
    <definedName name="SHARED_FORMULA_3_10_3_10_3">SUM(#REF!)</definedName>
    <definedName name="SHARED_FORMULA_3_308_3_308_4">SUM(#REF!+#REF!+#REF!)</definedName>
    <definedName name="SHARED_FORMULA_3_309_3_309_4">#REF!+#REF!+#REF!</definedName>
    <definedName name="SHARED_FORMULA_3_312_3_312_4">SUM(#REF!+#REF!+#REF!)</definedName>
    <definedName name="SHARED_FORMULA_3_32_3_32_2">SUM(#REF!)</definedName>
    <definedName name="SHARED_FORMULA_3_320_3_320_4">SUM(#REF!+#REF!+#REF!+#REF!)</definedName>
    <definedName name="SHARED_FORMULA_3_321_3_321_4">SUM(#REF!+#REF!+#REF!+#REF!)</definedName>
    <definedName name="SHARED_FORMULA_3_37_3_37_2">SUM(#REF!)</definedName>
    <definedName name="SHARED_FORMULA_3_47_3_47_2">SUM(#REF!)</definedName>
    <definedName name="SHARED_FORMULA_3_59_3_59_5">#REF!</definedName>
    <definedName name="SHARED_FORMULA_3_77_3_77_5">#REF!</definedName>
    <definedName name="SHARED_FORMULA_3_94_3_94_5">#REF!</definedName>
    <definedName name="SHARED_FORMULA_4_133_4_133_5">SUM(#REF!)-#REF!-#REF!-#REF!</definedName>
    <definedName name="SHARED_FORMULA_4_136_4_136_4">SUM(#REF!)</definedName>
    <definedName name="SHARED_FORMULA_4_200_4_200_4">SUM(#REF!)</definedName>
    <definedName name="SHARED_FORMULA_4_264_4_264_4">SUM(#REF!)</definedName>
    <definedName name="SHARED_FORMULA_4_322_4_322_4">SUM(#REF!,#REF!,#REF!)</definedName>
    <definedName name="SHARED_FORMULA_4_43_4_43_3">SUM(#REF!,#REF!,#REF!,#REF!,#REF!,#REF!,#REF!,#REF!,#REF!,#REF!,#REF!,#REF!,#REF!,#REF!)</definedName>
    <definedName name="SHARED_FORMULA_4_58_4_58_2">SUM(#REF!,#REF!,#REF!,#REF!,#REF!,#REF!,#REF!,#REF!,#REF!,#REF!,#REF!)</definedName>
    <definedName name="SHARED_FORMULA_4_73_4_73_4">SUM(#REF!)</definedName>
    <definedName name="SHARED_FORMULA_4_8_4_8_4">SUM(#REF!)</definedName>
    <definedName name="SHARED_FORMULA_4_9_4_9_3">SUM(#REF!)</definedName>
    <definedName name="SHARED_FORMULA_5_108_5_108_5">#REF!</definedName>
    <definedName name="SHARED_FORMULA_5_109_5_109_5">#REF!</definedName>
    <definedName name="SHARED_FORMULA_5_129_5_129_5">#REF!</definedName>
    <definedName name="SHARED_FORMULA_5_19_5_19_5">#REF!</definedName>
    <definedName name="SHARED_FORMULA_5_28_5_28_5">#REF!</definedName>
    <definedName name="SHARED_FORMULA_5_288_5_288_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9_5_289_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35_5_35_5">#REF!</definedName>
    <definedName name="SHARED_FORMULA_5_69_5_69_5">#REF!</definedName>
    <definedName name="SHARED_FORMULA_5_7_5_7_5">#REF!</definedName>
    <definedName name="SHARED_FORMULA_6_5_6_5_0">#REF!/#REF!*100</definedName>
    <definedName name="SHARED_FORMULA_7_62_7_62_5">#REF!</definedName>
    <definedName name="SHARED_FORMULA_7_82_7_82_5">#REF!</definedName>
    <definedName name="SHARED_FORMULA_7_93_7_93_5">#REF!</definedName>
    <definedName name="SHARED_FORMULA_8_48_8_48_5">#REF!</definedName>
    <definedName name="SHARED_FORMULA_9_112_9_112_5">#REF!</definedName>
    <definedName name="SHARED_FORMULA_9_118_9_118_5">#REF!</definedName>
    <definedName name="SHARED_FORMULA_9_44_9_44_5">#REF!</definedName>
    <definedName name="SHARED_FORMULA_9_53_9_53_5">#REF!</definedName>
    <definedName name="SHARED_FORMULA_9_77_9_77_5">#REF!</definedName>
    <definedName name="SHARED_FORMULA_9_98_9_98_5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<sst xmlns="http://schemas.openxmlformats.org/spreadsheetml/2006/main" count="2734" uniqueCount="1268">
  <si>
    <t>Pedagógiai szakszolgálat (Vaszary) 4 hónapra</t>
  </si>
  <si>
    <t>Pedagógus továbbképzés és szakvizsga 8 hónapra</t>
  </si>
  <si>
    <t>Pedagógus továbbképzés és szakvizsga 4 hónapra</t>
  </si>
  <si>
    <t>Osztályfőnöki pótlék kiegészítése 8 hónapra</t>
  </si>
  <si>
    <t>Osztályfőnöki pótlék kiegészítése 4 hónapra</t>
  </si>
  <si>
    <t>Gyógypedagógiai pótlék kiegészítése 8 hónapra</t>
  </si>
  <si>
    <t>Gyógypedagógiai pótlék kiegészítése 4hónapra</t>
  </si>
  <si>
    <t>Kedvezményes óvodai, iskolai étkeztetés</t>
  </si>
  <si>
    <t>Szakmai, informatikai, fejlesztési feladatok támogatása 8 hónapra</t>
  </si>
  <si>
    <t>Szakmai, informatikai, fejlesztési feladatok támogatása 4 hónapra</t>
  </si>
  <si>
    <t>Tanulók ingyenes tankönyvellátása</t>
  </si>
  <si>
    <t>Szociális továbbképzés és szakvizsga</t>
  </si>
  <si>
    <t>Ingyenes bölcsödei étkeztetés</t>
  </si>
  <si>
    <t>Normatív kötött támogatások összesen</t>
  </si>
  <si>
    <t>Normatív+kötött támogatások összesen</t>
  </si>
  <si>
    <t xml:space="preserve">SzJA átengedett 8 %     </t>
  </si>
  <si>
    <t>ÁLLAMI TÁMOGATÁS ÉS SZJA MINDÖSSZESEN</t>
  </si>
  <si>
    <t>Árpád-házi Szent Erzsébet Szakkórház és Rendelőintézet</t>
  </si>
  <si>
    <t>Városi Önkormányzat Intézmények összesen:</t>
  </si>
  <si>
    <t>Önkormányzati Hivatal:</t>
  </si>
  <si>
    <t xml:space="preserve"> - köztisztviselők, ügyintézők</t>
  </si>
  <si>
    <t xml:space="preserve"> - választott tisztségviselő</t>
  </si>
  <si>
    <t>Önkormányzati Hivatal összesen:</t>
  </si>
  <si>
    <t xml:space="preserve"> - Közterület-felügyelet (önállóan működő)</t>
  </si>
  <si>
    <t>Közterület-felügyelet összesen:</t>
  </si>
  <si>
    <t>Önkormányzati közfoglalkoztatottak éves létszám-erőirányzata</t>
  </si>
  <si>
    <t>Eredeti átlag létszám</t>
  </si>
  <si>
    <t>Hosszabb időtartamú közfogalalkoztatás</t>
  </si>
  <si>
    <t>Rövid időtartamú közfoglalkoztatás</t>
  </si>
  <si>
    <t>Önkormányzati Hivatal 2012. évi költségvetési terve (szakfeladatok és kiemelt előirányzatok szerinti bontásban) ( E Ft-ban)</t>
  </si>
  <si>
    <t>E. Ft-ban</t>
  </si>
  <si>
    <t>Bevétel</t>
  </si>
  <si>
    <t>Kiadás</t>
  </si>
  <si>
    <t>Hiteltörl. Kölcsön</t>
  </si>
  <si>
    <t>Tartalékok</t>
  </si>
  <si>
    <t xml:space="preserve">Személyi juttatások </t>
  </si>
  <si>
    <t>M.adókat terh. jár.</t>
  </si>
  <si>
    <t xml:space="preserve">Dologi egyéb folyó </t>
  </si>
  <si>
    <t>Pénzeszk. Átadás</t>
  </si>
  <si>
    <t>Önk.által foly. ellátás</t>
  </si>
  <si>
    <t>Út, autópálya építés</t>
  </si>
  <si>
    <t>552001</t>
  </si>
  <si>
    <t>Egyéb finanszírozási bevételek, kiegyenlítő, függő , átfutó</t>
  </si>
  <si>
    <t>Egyéb finanszírozáis kiadások (kiegyenlítő, függő,átfutó)</t>
  </si>
  <si>
    <t>Üdülői szálláshely szolgáltatás</t>
  </si>
  <si>
    <t>680002</t>
  </si>
  <si>
    <t>Nem lakóingatlan bérbeadása</t>
  </si>
  <si>
    <t>Kölcsönzés, lízing</t>
  </si>
  <si>
    <t>Adminisztratív kieg. szolgáltatás</t>
  </si>
  <si>
    <t>Önkormányzati jogalkotás ( képviselők)</t>
  </si>
  <si>
    <t>Önkormányzatok és társulások általános végrehajtó tevékenysége</t>
  </si>
  <si>
    <t>Adó, illeték kiszabása, beszedése, adóellenőrzés</t>
  </si>
  <si>
    <t>Önkormányzati vagyonnal való gazdálkodással kapcsolatos feladatok (saját ingatlan)</t>
  </si>
  <si>
    <t>Környezet és természetvédelem</t>
  </si>
  <si>
    <t>Város- és községgazdálkodás</t>
  </si>
  <si>
    <t>Költségvetési befizetés többlettámogatás miatt</t>
  </si>
  <si>
    <t>Sport, szabadidő képzés</t>
  </si>
  <si>
    <t>Egyéb önk. Eseti ellátások (Gyámhivatal)</t>
  </si>
  <si>
    <t>Munkáltatók által nyújtott lakástámogatások</t>
  </si>
  <si>
    <t>Aktívkorúak ellátása</t>
  </si>
  <si>
    <t>Időskorúak járadéka</t>
  </si>
  <si>
    <t>Lakásfenntartási támogatás (normatív)</t>
  </si>
  <si>
    <t>Ápolási díj (alanyi jogon)</t>
  </si>
  <si>
    <t>Rendszeres gyermekvédelmi pénzbeli ellátás</t>
  </si>
  <si>
    <t>Óvodáztatási támogatás</t>
  </si>
  <si>
    <t>Adósságkezelési szolgáltatás</t>
  </si>
  <si>
    <t>Közösségi szolgáltatás</t>
  </si>
  <si>
    <t>Önkormányzati ifjúsági kezdeményezések, programok v.támog.</t>
  </si>
  <si>
    <t>Máshova nem sorolható sporttámogatások</t>
  </si>
  <si>
    <t>Szabadidős park, fürdő és strandszolgáltatás</t>
  </si>
  <si>
    <t>Köztemetők fenntartása</t>
  </si>
  <si>
    <t>Máshova nem sorolható személyi szolgáltatás (Anyakönyv)</t>
  </si>
  <si>
    <t>Tata Város Közterület-felügyelete 2012. évi költségvetési terve (szakfeladatok és kiemelt előirányzatok szerinti bontásban) ( E Ft-ban)</t>
  </si>
  <si>
    <t>Pénzeszk. átadás és kezesség váll.</t>
  </si>
  <si>
    <t>Közterület rendjének fenntartása (Közterület Felügyelet)</t>
  </si>
  <si>
    <t>Mód. (VIII.29.)</t>
  </si>
  <si>
    <t>Mód.(XII.19.)</t>
  </si>
  <si>
    <t xml:space="preserve"> </t>
  </si>
  <si>
    <t>Teljesítés (XII.31)</t>
  </si>
  <si>
    <t>Központi költségvetési befizetések</t>
  </si>
  <si>
    <t>- Intézmények energiaracionalizálása KEOP-B17-2008-37</t>
  </si>
  <si>
    <t>Tata Város Önkormányzat 2012. évi költségvetési terve (szakfeladatok és kiemelt előirányzatok szerinti bontásban) ( E Ft-ban)</t>
  </si>
  <si>
    <t>020000</t>
  </si>
  <si>
    <t>Erdőgazdálkodás</t>
  </si>
  <si>
    <t>Víztermelés-kezelés ellátás</t>
  </si>
  <si>
    <t>Szennyvíz gyűjtése, tisztítása, elhelyezése</t>
  </si>
  <si>
    <t>Települési hulladék gyűjtése, szállítása</t>
  </si>
  <si>
    <t>Lakó- és nem lakóépület építése</t>
  </si>
  <si>
    <t>Út, autópálya építése</t>
  </si>
  <si>
    <t>Városi közúti személyszállítás</t>
  </si>
  <si>
    <t>Helyi utak fenntartása</t>
  </si>
  <si>
    <t>Könyvkiadás</t>
  </si>
  <si>
    <t>Egyéb kiadói tevékenység (lapkiadás)</t>
  </si>
  <si>
    <t>Lakóingatlan bérbeadása</t>
  </si>
  <si>
    <t>Állategészségügyi ellátás</t>
  </si>
  <si>
    <t>Zöldterület kezelés (parkfenntartás)</t>
  </si>
  <si>
    <t>Zöldterület kezelés (játszótér)</t>
  </si>
  <si>
    <t>Önkormányzati jogalkotás</t>
  </si>
  <si>
    <t>Önkormányzati jogalkotás (Pénzmaradvány)</t>
  </si>
  <si>
    <t>Önkormányzati vagyonnal való gazdálkodással kapcsolatos feladatok</t>
  </si>
  <si>
    <t>Nemzeti ünnepek programjai</t>
  </si>
  <si>
    <t>Kiemelt önkormányzati rendezvények (Minimarathon)</t>
  </si>
  <si>
    <t>Kiemelt önkormányzati rendezvények (Városi ünnepek)</t>
  </si>
  <si>
    <t xml:space="preserve">Kiemelt önkormányzati rendezvények </t>
  </si>
  <si>
    <t>Környezet- és természetvédelem helyi igazgatása és szabályozása</t>
  </si>
  <si>
    <t>Közvilágítás</t>
  </si>
  <si>
    <t>Város- és községgazdálkodás (Közbeszerzés)</t>
  </si>
  <si>
    <t>Város- és községgazdálkodás (VKG)</t>
  </si>
  <si>
    <t>Város- és községgazdálkodás (Építés- és területfejlesztés)</t>
  </si>
  <si>
    <t>Önkormányzatok elszámolása (normatíva)</t>
  </si>
  <si>
    <t>Finanszírozási műveletek</t>
  </si>
  <si>
    <t>Működési- és felhalmozási tartalék</t>
  </si>
  <si>
    <t>Önkormányzatok nemzetközi kapcsolatai "HUSK"</t>
  </si>
  <si>
    <t>Önkormányzatok nemzetközi kapcsolatai (Testvérvárosi feladatok)</t>
  </si>
  <si>
    <t>Önkormányzatok nemzetközi kapcsolatai (Intraktív generációk)</t>
  </si>
  <si>
    <t>Közterület rendjének fenntartása (Polgárőrség, Rendőrség)</t>
  </si>
  <si>
    <t>Tűzoltás, műszaki mentés, katasztrófa elhárítás (Polgári védelem)</t>
  </si>
  <si>
    <t>Lakosság felkészítése, tájékoztatás, riasztás</t>
  </si>
  <si>
    <t>Óvodai nevelés, ellátás</t>
  </si>
  <si>
    <t>Alapfokú oktatás intézményeinek támogatása</t>
  </si>
  <si>
    <t>Alapfokú oktatás (Tanulmányi ösztöndíjak)</t>
  </si>
  <si>
    <t>Középfokú oktatás int. program támogatása</t>
  </si>
  <si>
    <t>Sport, szabadidős képzés (Tanuszoda)</t>
  </si>
  <si>
    <t>Pedagógiai szakmai szolgáltatás</t>
  </si>
  <si>
    <t>Egészségügyi intézmények programjainak támogatása</t>
  </si>
  <si>
    <t>Járóbeteg ellátás, fogorvosi ellátás támogatása</t>
  </si>
  <si>
    <t>Bentlakásos szociális ellátások intézményi programjainak támogatása</t>
  </si>
  <si>
    <t>Bentlakás nélküli szociális ellátás támogatása</t>
  </si>
  <si>
    <t>Lakásfenntartási támogatás (helyi)</t>
  </si>
  <si>
    <t>Ápolási díj (méltányossági alapon)</t>
  </si>
  <si>
    <t>Átmeneti segély</t>
  </si>
  <si>
    <t>Temetési segély</t>
  </si>
  <si>
    <t>Rendkívüli gyermekvédelmi ellátás</t>
  </si>
  <si>
    <t>Egyéb önkormányzati eseti ellátás (szociális ösztöndíj)</t>
  </si>
  <si>
    <t>Egyéb önkormányzati eseti pénbeni ellátások (életkezdési támogatás)</t>
  </si>
  <si>
    <t>Közgyógyellátás</t>
  </si>
  <si>
    <t>Köztemetés</t>
  </si>
  <si>
    <t>Bölcsődei ellátás</t>
  </si>
  <si>
    <t>Támogató szolgáltatás</t>
  </si>
  <si>
    <t>Önkormányzat által nyújtott lakástámogatás</t>
  </si>
  <si>
    <t>Önkormányzat ifjúsági kezdeményezések és programok (Gyermekbarát város)</t>
  </si>
  <si>
    <t>Bérpótló juttatásra jogosultak hosszabb időtartamú közfoglalkoztatása</t>
  </si>
  <si>
    <t>Közművelődési tevékenységek és támogatásuk</t>
  </si>
  <si>
    <t>Utánpótlás-nevelési tevékenység támogatása (Sportiskola)</t>
  </si>
  <si>
    <t>Mód.(II.27.)</t>
  </si>
  <si>
    <t>Máshová nem sorolható egyéb sporttámogatás</t>
  </si>
  <si>
    <t>Közösségi társadalmi tevékenység (TDM)</t>
  </si>
  <si>
    <t>Köztemető fenntartás és működtetés</t>
  </si>
  <si>
    <t>Tata Város Polgármesteri Hivatala által folyósított 2012. évi ellátások alakulásának részletezése</t>
  </si>
  <si>
    <t>(E Ft-ban)</t>
  </si>
  <si>
    <t>Foglalkoztatást helyettesítő támogatás</t>
  </si>
  <si>
    <t>Tartósan munkanélküliek rendszeres szociális segélye</t>
  </si>
  <si>
    <t>Rendszeres szociális segély (egészségkárosodottak részére)</t>
  </si>
  <si>
    <t>Adósságkezelési szolgáltatással kapcsolatos támogatás</t>
  </si>
  <si>
    <t>Adósságkezelés címen adott lakásfenntartási támogatás</t>
  </si>
  <si>
    <t>Ápolási díj (normatív)</t>
  </si>
  <si>
    <t>Rendszeres gyermekvédelmi támogatás (normatív)</t>
  </si>
  <si>
    <t>Több éves kihatással járó beruházási és felújítási feladatok (E Ft)*</t>
  </si>
  <si>
    <t>Feladat megnevezése</t>
  </si>
  <si>
    <t>Bekerülési költség</t>
  </si>
  <si>
    <t>Előző években kifizetett összeg</t>
  </si>
  <si>
    <t>2012. évre eredeti tervezett kifizetés összege</t>
  </si>
  <si>
    <t>2012-ben teljesített</t>
  </si>
  <si>
    <t>2013. évre tervezett kifizetés összege</t>
  </si>
  <si>
    <t>2014. évre és az azt követő időszakra tervezett kifizetés</t>
  </si>
  <si>
    <t>A tatai Angolpark rehabilitációja, KDOP-2007-2.1.1./B</t>
  </si>
  <si>
    <t>Gondoskodó Kistérség, szociális alapellátások minőségi fejlesztése KDOP-5.2.2/A-09-2009-0006</t>
  </si>
  <si>
    <t>Tata, Baji út és a kertváros kerékpáros forgalmának komplex rendezése KDOP- 4.2.2-11-2011-0008</t>
  </si>
  <si>
    <t>Települési vízrendezés fejlesztése Tatán Helyszín: Tata, József Attila utca KDOP – 4.1.1/E-2011.</t>
  </si>
  <si>
    <t>Kőfaragó-ház fejlesztési projekt Turisztikai vonzerők felújítása, közös termékek és kapcsolódó desztináció-menedzsment szervek fejlesztése, infrastruktúra felállítása HUSK/1101/1.3.1</t>
  </si>
  <si>
    <t xml:space="preserve">Eötvös Gimnázium energiaracionalizálása KEOP – 4.9.0 </t>
  </si>
  <si>
    <t>Művelődési Ház energiaracionalizálása KEOP - 4.9.0</t>
  </si>
  <si>
    <t>Forrás: a benyújtandó és benyújtott pályázatok részletes költségvetése és a projekt szintű analitikák</t>
  </si>
  <si>
    <t>Rászorultságtól függő pénzbeli szociális, gyermekvédelmi ellátások összesen</t>
  </si>
  <si>
    <t>Rendszeres gyermekvédelmi támogatás (Erzsébet utalvány)</t>
  </si>
  <si>
    <t>Természetben nyújtott ellátás összesen</t>
  </si>
  <si>
    <t>Önkormányzatok által folyósított szociális, gyermekvédelmi ellátások összesen:</t>
  </si>
  <si>
    <t xml:space="preserve">Ápolási díj járulék 24 % </t>
  </si>
  <si>
    <t xml:space="preserve"> - normatív</t>
  </si>
  <si>
    <t>Tata Város Önkormányzata által folyósított 2012. évi ellátások alakulásának részletezése</t>
  </si>
  <si>
    <t>Lehívható központi támogatás Eredeti</t>
  </si>
  <si>
    <t>Lehívható központi támogatás Mód. (V.30.)</t>
  </si>
  <si>
    <t>Lehívható központi támogatás Mód. (III.27.)</t>
  </si>
  <si>
    <t>Lehívható központi támogatás Teljesítés (XII.31.)</t>
  </si>
  <si>
    <t>Lakásfenntartási támogatás (helyi megállapítás)</t>
  </si>
  <si>
    <t>Ápolási díj (helyi megállapítás)</t>
  </si>
  <si>
    <t>Rendkívüli gyermekvédelmi támogatás (helyi megállapítás)</t>
  </si>
  <si>
    <t>Intézmények Gazdasági Hivatalához tartozó önállóan működő intézmények 2012. évi költségvetése</t>
  </si>
  <si>
    <t>Intézmények Gazdasági Hivatalához tartozó  önállóan működő intézmények 2012. évi költségvetése</t>
  </si>
  <si>
    <t>Kamatbevétel</t>
  </si>
  <si>
    <t>Pénzmaradvány átvétel</t>
  </si>
  <si>
    <t>Függő bevételek</t>
  </si>
  <si>
    <t>Pénzbeli kártérítés</t>
  </si>
  <si>
    <t>Függő kiadások</t>
  </si>
  <si>
    <t>2012.V.hó</t>
  </si>
  <si>
    <t>2012VIII.hó</t>
  </si>
  <si>
    <t>2012. XII. hó</t>
  </si>
  <si>
    <t>2013. II. hó</t>
  </si>
  <si>
    <t>2012.XII.hó</t>
  </si>
  <si>
    <t>kell</t>
  </si>
  <si>
    <t>eltérés</t>
  </si>
  <si>
    <t>javított 03.11.</t>
  </si>
  <si>
    <t>Tatai fiatalok életkezdési támogatásához</t>
  </si>
  <si>
    <t>Közlekedési támogatás tanulóknak</t>
  </si>
  <si>
    <t>Gyermektartásdíj megelőlegezése</t>
  </si>
  <si>
    <t>Lakáshitel törlesztések támogatása</t>
  </si>
  <si>
    <t>Tanulóbérlet</t>
  </si>
  <si>
    <t>Mikszáth K. u. 7. ingatlan kártérítés 265/2012. (IX.19.) Tata Kt. PVB határozat</t>
  </si>
  <si>
    <t>Önkormányzati saját hatáskörben adott természetbeni ellátás (HPV védőoltás)</t>
  </si>
  <si>
    <t>Természetben nyújtott átmeneti segély</t>
  </si>
  <si>
    <t>Természetben nyújtott ellátások összesen</t>
  </si>
  <si>
    <t xml:space="preserve"> - méltányosság </t>
  </si>
  <si>
    <t>Önkormányzati rendeletben megállapított egyéb juttatás</t>
  </si>
  <si>
    <t>2012. évi beruházási kiadások feladatonként (ÁFA-val)</t>
  </si>
  <si>
    <t xml:space="preserve">E Ft-ban </t>
  </si>
  <si>
    <t>Pályázatok és azokhoz kapcsolódó feladatok</t>
  </si>
  <si>
    <t>Angolpark rehabilitációja KDOP-2.1.1/B-2f-2009-0002 610/2011.(XII.15.) Tata Kt. határozat</t>
  </si>
  <si>
    <t>Tatabánya-Vértesszőlős-Tata településeket összekötő közlekedési célú kerékpárút építése az Általér mentén KÖZOP–3.2.0/c-08-2010-0003 117/2010.(IV.28./) sz. határozat</t>
  </si>
  <si>
    <t>Gondoskodó kistérség – Szociális alapszolgáltatások minőségi fejlesztése a tatai kistérségben KDOP–5.2.2/A-09-2009-0006 116/2010. (IV.28.)</t>
  </si>
  <si>
    <t>Öreg-tavi Ökoturisztikai Központ kialakítása a csatlakozó kerékpárutak felújításával Tatán és a tematikus aktív turisztikai fejlesztések a kistérségben KDOP–2.1.1/B–09-2010-0002 448/2011. (IX. 29.) Tata Kt. határozat 573/2011. (XII.15.) Tata Kt. határozat</t>
  </si>
  <si>
    <t>Gondoskodó kistérség pályázat KDOP-2009-5.2.2/A - a pályázat elszámolásának technikai fedezetéül pénzmaradványból</t>
  </si>
  <si>
    <t>Új úti Bölcsőde kapacitásbővítése és minőségi fejlesztése KDOP-5.2.2/B-09-2009-0004 - a pályázat elszámolásának technikai fedezetéül pénzmaradványból</t>
  </si>
  <si>
    <t xml:space="preserve">Önkormányzati intézményekbe Napelemes rendszer telepítése KEOP – 4.10.0/A 86/2012. (III.29.) Tata Kt. határozat, 444/2012. (XI.29.) Tata Kt. határozat, 573/2012. (XII.20.) Tata Kt. határozat (Kincseskert Óvoda, Polgármesteri hivatal és a Kőkúti Általános </t>
  </si>
  <si>
    <t>Kossuth tér városközpont értékmegőrző rehabilitációja KDOP–3.1.1/A–09-1f-2010-0001 156/2012. (IV.26.) Tata Kt. határozat, 295/2012. (VII. 27.) Tata Kt. határozat 4 699 E Ft kötvényből</t>
  </si>
  <si>
    <t>Kőkúti Ált. Iskolába multifunkcionális sportpálya építéséhez szükséges pályázati önerő 175/2012. (IV.26.) Tata Kt. határozat</t>
  </si>
  <si>
    <t>A tatai Réti 8-as számú halastó természetes vízi élőhellyé történő rehabilitációja projekt KEOP–7.3.1.2/09-11-2011-0023 320/2012. (VIII.30.) Tata Kt. határozat, 296/2012. (VII. 27.) Tata Kt. határozat - kötvényforrásból</t>
  </si>
  <si>
    <t>Ökoturisztikai tanösvény kialakítása a tatai Fényes fürdő területén projekt KDOP-2.1.1/B-12-2012-0046 310/2012. (VIII.22.) Tata Kt. határozat</t>
  </si>
  <si>
    <t>Angolpark projekthez kapcsolódóan Baji úti és Sport utcai útkorszerűsítés kivitelezése</t>
  </si>
  <si>
    <t>Által-ér Völgyi kerékpárút projekthez kapcsolódóan belterületi közvilágítás bővítés II. ütem</t>
  </si>
  <si>
    <t>Baji út és a kertváros kerékpáros forgalmának komplex rendezése KDOP-4.2.2-11, 550/2012. (XII.20.) Tata Kt. határozat</t>
  </si>
  <si>
    <t>Képviselő-testületi határozattal elfogadott feladatok</t>
  </si>
  <si>
    <t>Tata Város Közterület-felügyelet</t>
  </si>
  <si>
    <t>6. és azt követő években</t>
  </si>
  <si>
    <t>A 1880/3 hrsz.-ú és a 1880/6 hrsz.-ú ingatlanok (Piac tér) kisajátításához 100/2012.( III.29.) Tata Kt. határozat</t>
  </si>
  <si>
    <t>Kocsi úti Ipartelep szervizút közvilágításának kiépítése 161/2012. (IV.26.) Tata Kt. határozat</t>
  </si>
  <si>
    <t>Zsigmond u. 15. ingatlan vételárának II. részlete 108/2012. (III.29.) Tata Kt. határozat</t>
  </si>
  <si>
    <t>Kötvénykibocsátás és hitelek (E Ft-ban)</t>
  </si>
  <si>
    <t>2012. december 31-én</t>
  </si>
  <si>
    <t>Szerződő bank, illetve egyéb szervezet</t>
  </si>
  <si>
    <t>Hitelfelvétel</t>
  </si>
  <si>
    <t>Lejárat éve</t>
  </si>
  <si>
    <t>2012. évi nyitó állomány (értékelés után)</t>
  </si>
  <si>
    <t>2012. évi hitel törlesztés    (12.31-ig)</t>
  </si>
  <si>
    <t>2012.  12.31-i hitel és kötvény állomány</t>
  </si>
  <si>
    <t>éve</t>
  </si>
  <si>
    <t>összege</t>
  </si>
  <si>
    <t>Agostyáni Víziközmű Társulat (megszűnt)</t>
  </si>
  <si>
    <t>MTB. Zrt.</t>
  </si>
  <si>
    <t>Fejlesztési hitel kisbusz vásárlásához</t>
  </si>
  <si>
    <t>Bp. Autófin. Zrt.</t>
  </si>
  <si>
    <t>Hosszú lejáratú fejlesztési hitel (felhalmozási hiány fedezetére)</t>
  </si>
  <si>
    <t>Hitelek összesen</t>
  </si>
  <si>
    <t>Fejlesztési célú kötvénykibocsátás</t>
  </si>
  <si>
    <t>MTB Zrt.</t>
  </si>
  <si>
    <t>Hosszú lejáratú hitelek és kötvény</t>
  </si>
  <si>
    <t>Almási u. 43. szám alatti ingatlanba külön víz- és villany mérési pontok kialakítása 226/2012. (V. 31.) Tata Kt. határozat</t>
  </si>
  <si>
    <t>Információval a határon át című HUSK/1001/2.5.2/0019 című pályázatra 249/2012. (VI. 28.) Tata Kt. határozat</t>
  </si>
  <si>
    <t>Tatai Fényes Fürdőn az üzemeletetési szerződés szerinti beruházási munkákra 251/2012. (VI. 28.) Tata Kt. határozat</t>
  </si>
  <si>
    <t>Újhegyi buszforduló kialakításához 252/2012. (VI. 28.) Tata Kt. határozat, 545/2012. (XII.20.) Tata Kt. határozat</t>
  </si>
  <si>
    <t>Frankel Leo utcában található 2145/17 hrsz-ú ingatlan megvásárlása 299/2012. (VII. 27.) Tata Kt. határozat - kötvényből</t>
  </si>
  <si>
    <t>Váralja u. 28. szám alatti, 1903 hrsz.-ú lakóház, udvar megnevezésű 366 m2 nagyságú ingatlan vételár 400/2012. (X.31.) Tata Kt. határozat</t>
  </si>
  <si>
    <t>Fáklya utca útépítési engedélyének meghosszabbításához 432/2012. (XI.29.) Tata Kt. határozat</t>
  </si>
  <si>
    <t>Május 1 úti körforgalom forgalomba helyezéséhez 433/2012. (XI.29.) Tata Kt. határozat</t>
  </si>
  <si>
    <t>Kossuth téren köztéri szobor elhelyezése 435/2012. (XI.29.) Tata Kt. határozat</t>
  </si>
  <si>
    <t>Lámpatestek elhelyezése a Piarista rendházba 319/2012. (VIII.30.) Tata Kt. határozat</t>
  </si>
  <si>
    <t>648/2 hrsz-ú családi ház vételára 356/2012. (XI.27.) Tata Kt. PVB határozata</t>
  </si>
  <si>
    <t>460/135 hrsz-ú ingatlan telekrészének vételára 576/2012. (XII.20.) Tata Kt. határozat</t>
  </si>
  <si>
    <t>Egyéb 2012. évi igények</t>
  </si>
  <si>
    <t>Mentőállomásra ajtó, ajtócsere miatt megsérült burkolat cseréje</t>
  </si>
  <si>
    <t xml:space="preserve">10241/2 hrsz.-ú ingatlanból 18m2 nagyságú terület megvétele (Kollár Gyula és Kollár Rózsa) </t>
  </si>
  <si>
    <t>Digitális alaptérkép II. részlet</t>
  </si>
  <si>
    <t>Közvilágítási hálózat felmérés műszaki tanulmány terve</t>
  </si>
  <si>
    <t>Deák F. u. korszerűsítésének tervezési költségeire - Általános tartalékból</t>
  </si>
  <si>
    <t>Eszközök beszerzésére</t>
  </si>
  <si>
    <t xml:space="preserve"> 2012. évben igénybevett közvetett támogatás összege</t>
  </si>
  <si>
    <t>Részletfizetési kedvezmény:</t>
  </si>
  <si>
    <t>Fizetési halasztás:</t>
  </si>
  <si>
    <t xml:space="preserve"> - idegenforgalmi adó</t>
  </si>
  <si>
    <t xml:space="preserve"> - egyéb</t>
  </si>
  <si>
    <t>3. Ingatlan hasznosításból származó bevételből nyújtott kedvezmény, mentesség:</t>
  </si>
  <si>
    <t>Vécsey u. 648/1 és 648 hrsz ingatlan vízbekötése</t>
  </si>
  <si>
    <t>Kisfaludy u. gyalogos- és kerékpárút terve</t>
  </si>
  <si>
    <t>15414/2 hrsz-ú ingatlan vételára</t>
  </si>
  <si>
    <t>Koltói A.u.- Környei u csapadékvíz elvezetés</t>
  </si>
  <si>
    <t>Agostyán ,Vasvári utca vízelvezetés</t>
  </si>
  <si>
    <t>Kazincbarcikai úti játszótér építésére</t>
  </si>
  <si>
    <t>Levendula kerti játszótér építése</t>
  </si>
  <si>
    <t>Balatonvilágosi üdülőbe kerítés és kerékpártároló</t>
  </si>
  <si>
    <t>Kerékpártároló</t>
  </si>
  <si>
    <t>Földvásárlás 1421 hrsz; 1403 hrsz; 1416 hrsz</t>
  </si>
  <si>
    <t>Műszerbeszerzésre</t>
  </si>
  <si>
    <t>Szociális Alapellátó Intézmény - gépkocsi, számítástechnikai eszközök, Deák Ferenc utcai épület útómunkálataira</t>
  </si>
  <si>
    <t>Bartók B. u-i Óvoda</t>
  </si>
  <si>
    <t>Kőkúti Általános Iskola - TÁMOP-3.17-11/2 pályázat, informatikai normatívából notebookok</t>
  </si>
  <si>
    <t>Vaszary J. Általános Iskola Tardosi Tagintézménye</t>
  </si>
  <si>
    <t>Intézmények Gazdasági Hivatala - számítógép beszerzés</t>
  </si>
  <si>
    <t>Móricz Zs. Városi Könyvtár - Számítógép beszerzés</t>
  </si>
  <si>
    <t>Mindösszesen</t>
  </si>
  <si>
    <t>2012. évi tartalékolt beruházási kiadások feladatonként (ÁFA-val)</t>
  </si>
  <si>
    <t>Teljesítés (XII.21.)</t>
  </si>
  <si>
    <t>Angolpark projekt végrehajtásával kapcsolatban MNV Zrt. részére a Kiskastély vagyonkezelői jogával kapcsolatos óvadék fizetése</t>
  </si>
  <si>
    <t>Kossuth tér városközpont értékmegőrző rehabilitációja KDOP–3.1.1/A–09-1f-2010-0001 277/2010. (VIII.18.) sz. határozat</t>
  </si>
  <si>
    <t>A Kossuth tér pályázathoz kapcsolódik (de nem része a pályázatnak) a Bláthy O. u. összekötő út építése</t>
  </si>
  <si>
    <t>Baji út és a kertváros kerékpáros forgalmának komplex rendezése KDOP-4.2.2-11</t>
  </si>
  <si>
    <t>Intermodális közösségi közlekedési központ létrehozása Tatán KÖZOP–5.5.0-09-11-2011-0010 239/2011.(V.25.) sz. határozat</t>
  </si>
  <si>
    <t>Médiával az együttműködésért HUSK</t>
  </si>
  <si>
    <t>Fürdő u. 2. ingatlanra engedélyezési és kiviteli terv készítése 565/2011. (XII.1.) Tata Kt. határozat</t>
  </si>
  <si>
    <t>Fellner J. u. 2 ingatlan telekalakítási munkáira 545/2011. (XII.1.) Tata Kt. határozat</t>
  </si>
  <si>
    <t>Váralja u. 28. ingatlan vásárlása (546/2011. (XII.1.) Tata Kt.határozat</t>
  </si>
  <si>
    <t>Szerződéssel terhelt feladatok</t>
  </si>
  <si>
    <t>Zsigmond u. 15. ingatlan vételárának II. részlete</t>
  </si>
  <si>
    <t>Fényes fürdőn fejlesztések</t>
  </si>
  <si>
    <t>Piarista Rendházra felmérési tervdokumentáció készítése</t>
  </si>
  <si>
    <t>Pályázatok előkészítéséhez</t>
  </si>
  <si>
    <t>Szemere u.- Aradi u. csapadékvíz elvezetés</t>
  </si>
  <si>
    <t>Koltói u.- Környei u. csapadékvíz elvezetés</t>
  </si>
  <si>
    <t>Újhegyi úti vízfolyás rekonstrukció felső szakasz mederburkolás</t>
  </si>
  <si>
    <t>V-VI. dűlő vízelvezető burkolt árok készítés</t>
  </si>
  <si>
    <t xml:space="preserve">Nagy L.u- Tavasz u. vízelvezetés( nyitott árok)  </t>
  </si>
  <si>
    <t>Sor</t>
  </si>
  <si>
    <t>Módosított</t>
  </si>
  <si>
    <t>szám</t>
  </si>
  <si>
    <t>előirányzat</t>
  </si>
  <si>
    <t>Munkaadót terhelő járulékok</t>
  </si>
  <si>
    <t>Működési célú támogatásértékű kiadások, egyéb támogatások</t>
  </si>
  <si>
    <t>Államháztartáson kívülre végleges működési pénzeszközátadások</t>
  </si>
  <si>
    <t>Ellátottak pénzbeli juttatásai</t>
  </si>
  <si>
    <t>Felhalmozási célú támogatásértékű kiadások, egyéb támogatások</t>
  </si>
  <si>
    <t>Államháztartáson kívülre végleges felhalmozási pénzeszközátadások</t>
  </si>
  <si>
    <t>Hosszú lejáratú kölcsönök nyújtása</t>
  </si>
  <si>
    <t>Rövid lejáratú kölcsönök nyújtása</t>
  </si>
  <si>
    <t>Költségvetési pénzforgalmi kiadások összesen (1+..+12)</t>
  </si>
  <si>
    <t>Hosszú lejáratú hitelek</t>
  </si>
  <si>
    <t>Rövid lejáratú hitelek</t>
  </si>
  <si>
    <t>-15 ből likvidhitelek kiadása</t>
  </si>
  <si>
    <t>Tartós hitelviszonyt megtestesítő értékpapírok kiadásai</t>
  </si>
  <si>
    <t>Forgatási célú hitelviszonyt megtestesítő értékpapírok kiadásai</t>
  </si>
  <si>
    <t>Finanszírozási kiadások összesen (14+15+17+18)</t>
  </si>
  <si>
    <t>Pénzforgalmi kiadások (13+19)</t>
  </si>
  <si>
    <t>Pénzforgalom nélküli kiadások</t>
  </si>
  <si>
    <t>Kiegyenlítő, függő, átfutó kiadások összesen</t>
  </si>
  <si>
    <t>Kiadások összesen (20+21+22)</t>
  </si>
  <si>
    <t>Intézményi működési bevételek</t>
  </si>
  <si>
    <t>Működési célú támogatásértékű bevételek, egyéb támogatások</t>
  </si>
  <si>
    <t>Államháztartáson kívülről végleges működési pénzeszközátvételek</t>
  </si>
  <si>
    <t>28-ból önkormányzat sajátos felhalmozási és tőkebevételei</t>
  </si>
  <si>
    <t>Felhalmozási célú támogatásértékű bevételek, egyéb támogatások</t>
  </si>
  <si>
    <t>Államháztartáson kívülről végleges felhalmozási pénzeszközátvételek</t>
  </si>
  <si>
    <t>Támogatások, kiegészítések</t>
  </si>
  <si>
    <t>32-ből önkormányzatok költségvetési támogatása</t>
  </si>
  <si>
    <t>Hosszú lejáratú kölcsönök visszatérülése</t>
  </si>
  <si>
    <t>Rövid lejáratú kölcsönök visszatérülése</t>
  </si>
  <si>
    <t>Költségvetési pénzforgalmi bevételek összesen (24+...28+30+31+32+34+35)</t>
  </si>
  <si>
    <t>Hosszú lejáratú hitelek felvétele</t>
  </si>
  <si>
    <t>Rövid lejáratú hitelek felvétele</t>
  </si>
  <si>
    <t>Az Önkormányzat 100 %-os tulajdonában álló gazdálkodó szervezetek és az 
Önkormányzat között fennálló kötelezettségek alakulása 2012. évben (E Ft)</t>
  </si>
  <si>
    <t xml:space="preserve">Kölcsöntartozások alakulása 2012. évben (E Ft-ban, kamat nélkül) </t>
  </si>
  <si>
    <t>Kölcsönfelvétel</t>
  </si>
  <si>
    <t>Tartozás 
2012.12.31.</t>
  </si>
  <si>
    <t>Határozat száma</t>
  </si>
  <si>
    <t>Éve</t>
  </si>
  <si>
    <t>Összege</t>
  </si>
  <si>
    <t>285/2009. (IX.09.)</t>
  </si>
  <si>
    <t>281/2011. (VI.29.)</t>
  </si>
  <si>
    <t>*</t>
  </si>
  <si>
    <t>390/2011. (IX.28.)</t>
  </si>
  <si>
    <t>258/2012. (VI.28.)</t>
  </si>
  <si>
    <t>387/2012. (X.31.)</t>
  </si>
  <si>
    <t>Tatai Távhőszolgáltató Kft. összesen</t>
  </si>
  <si>
    <t>103/2011. (III.30.)</t>
  </si>
  <si>
    <t>526/2011. (XI.30.)</t>
  </si>
  <si>
    <t>Tatai Városfejlesztő Kft. összesen</t>
  </si>
  <si>
    <t>16/2009. (V.28.)</t>
  </si>
  <si>
    <t>37/2010. (II.10.)</t>
  </si>
  <si>
    <t>111/2010. (IV.28.)</t>
  </si>
  <si>
    <t>106/2011. (III.30.)</t>
  </si>
  <si>
    <t>275/2011. (VI.29.)</t>
  </si>
  <si>
    <t>387/2011. (IX.28.)</t>
  </si>
  <si>
    <t>78/2012. (III.29.)</t>
  </si>
  <si>
    <t>183/2012. (IV.26.)</t>
  </si>
  <si>
    <t>508/2012. (XII.20.)</t>
  </si>
  <si>
    <t>Tatai Fényes Fürdő Kft. összesen</t>
  </si>
  <si>
    <t xml:space="preserve">*a lejárat éve nem ismert, a társaság a visszafizetést a 2006. évi IV. törvény 120. § (4) bekezdése alapján akkor teljesíti, ha nyeresége keletkezik. </t>
  </si>
  <si>
    <t xml:space="preserve">      Garancia- és kezességvállalásból származó kötelezettségek alakulása 2012. évben (E Ft-ban)</t>
  </si>
  <si>
    <t>Garancia- és kezességvállalási szerződés</t>
  </si>
  <si>
    <t>Tartozás  
2012.12.31.</t>
  </si>
  <si>
    <t>Száma</t>
  </si>
  <si>
    <t xml:space="preserve">Összege </t>
  </si>
  <si>
    <t>Tatai Városkapu Közhasznú Zrt.</t>
  </si>
  <si>
    <t>SZ-2005-104</t>
  </si>
  <si>
    <t>Tata Város Önkormányzatának 2012. évi pénzmaradvány alakulása, változásának tartalma és okai (E Ft-ban)</t>
  </si>
  <si>
    <t>-38-ból likvid hitelek bevétele</t>
  </si>
  <si>
    <t>Tartós hitelviszonyt megtestesítő értékpapírok bevétele</t>
  </si>
  <si>
    <t>Forgatási célú hitelviszonyt megtestesítő értékpapírok bevételei</t>
  </si>
  <si>
    <t>Finanszírozási bevételek összesen (37+38+40+41)</t>
  </si>
  <si>
    <t>Pénzforgalmi bevételek (36+42)</t>
  </si>
  <si>
    <t>Pénzforgalom nélküli bevételek</t>
  </si>
  <si>
    <t>Továbbadási (lebonyolítási) célú bevételek</t>
  </si>
  <si>
    <t xml:space="preserve">Kiegyenlítő, függő, átfutó bevételek </t>
  </si>
  <si>
    <t>Bevételek összesen (43+…+46)</t>
  </si>
  <si>
    <t>Pénzforgalmi költségvetési bevételek és kiadások különbsége(36-13)költségv. Hiány (-) ,költségvetési többlet(+)</t>
  </si>
  <si>
    <t>Igénybe vett tartalékokkal korrigált költségvetési bevételek és kiadások különbsége (48+44-21)(korrigált költségvetési hiány(-),korrigált költségvetési többlet (+)</t>
  </si>
  <si>
    <t>Finanszírozási műveletek eredménye (42-19)</t>
  </si>
  <si>
    <t>Aktív és passzív pénzügyi műveletek egyenlege (45+46-22)</t>
  </si>
  <si>
    <t>2012. évi egyszerűsített éves pénzforgalmi jelentése (E Ft-ban)</t>
  </si>
  <si>
    <t>Naszályi úti műtárgyak átépítése a Rügy utcánál</t>
  </si>
  <si>
    <t xml:space="preserve">Új úti átereszek átépítése </t>
  </si>
  <si>
    <t>Diófa utcai csapadék átvezetése a főút alatt</t>
  </si>
  <si>
    <t>Piac tér kiszolgáló út II. ütem</t>
  </si>
  <si>
    <t>Piac téri kisajátítás (1880/3 és 1880/ hrsz.)</t>
  </si>
  <si>
    <t>Kossuth tér 5. előtti gyalogos átkelő</t>
  </si>
  <si>
    <t>A Polgármesteri Hivatal Bláthy O. utcai közúti kapcsolatának és belső parkolójának tervezése</t>
  </si>
  <si>
    <t>Egyéb tervezések</t>
  </si>
  <si>
    <t>Beruházásokhoz kapcsolódó engedélyezési és hatósági díjak</t>
  </si>
  <si>
    <t>Tata, Agostyán Kert u. kisajátítás</t>
  </si>
  <si>
    <t>Újhegy VI. és VII. dűlőben kisajátítás, újhegyi buszfordulóhoz területszerzés</t>
  </si>
  <si>
    <t xml:space="preserve">THAC ingatlanvásárlás </t>
  </si>
  <si>
    <t>Számítástechnikai eszközök beszerzésére</t>
  </si>
  <si>
    <t>Polgármesteri Hivatalban az informatikai szoba átalakítása</t>
  </si>
  <si>
    <t>Erkel F. u. közvilágítás fejlesztése</t>
  </si>
  <si>
    <t>Gyalogos átkelők szabványosítása a Május 1 úton</t>
  </si>
  <si>
    <t>Kossuth tér kiváltási terv</t>
  </si>
  <si>
    <t>Közvilágítási hálózat felmérése, dokumentáció</t>
  </si>
  <si>
    <t>Kazánbeszerzés távhőrendszerhez (Spar bővítését, hiányzó alapteljesítményt biztosítja)</t>
  </si>
  <si>
    <t>Szelektív hulladékgyűjtő konténer csere</t>
  </si>
  <si>
    <t>Visszatérő forrásokkal kapcsolatos beruházási feladatok</t>
  </si>
  <si>
    <t>Energianövények telepítése 40 ha-on</t>
  </si>
  <si>
    <t>Zsidó iskola kútjának vízelvezetési munkái</t>
  </si>
  <si>
    <t>Közterület-felügyeletnek gépkocsi beszerzés</t>
  </si>
  <si>
    <t>2012. évi felújítási kiadások célonként (ÁFA-val)</t>
  </si>
  <si>
    <t>E Ft-ban</t>
  </si>
  <si>
    <t>Mód. ( V.30.)</t>
  </si>
  <si>
    <t>Mód.(III.27)</t>
  </si>
  <si>
    <t>Önkormányzati bérlakások felújítása</t>
  </si>
  <si>
    <t>Eötvös Gimnázium felújítás tervei és pályázat előkészítés 342/2011. (VIII.9.) Tata Kt. határozat</t>
  </si>
  <si>
    <t>Művelődési Ház  felújítás tervei és pályázat előkészítés 342/2011. (VIII.9.) Tata Kt. határozat</t>
  </si>
  <si>
    <t>Szennyvíz csatorna közmű felújítása</t>
  </si>
  <si>
    <t>Balatonszepezdi 1400 hrsz-ú ingatlan felújítására 140/2012. (IV.26.) Tata Kt. határozat</t>
  </si>
  <si>
    <t>Rákóczi u. 9. szám alatti ingatlan raktárépület tetőszerkezetének felújítása 141/2012. (IV.26.) Tata Kt. határozat</t>
  </si>
  <si>
    <t>Eötvös József Gimnázium és Kollégium fűtési rendszerének felújítása 254/2012. (VI. 28.) Tata Kt. határozat</t>
  </si>
  <si>
    <t xml:space="preserve">Költségvetési egyenleg: </t>
  </si>
  <si>
    <t>Személyi juttatás</t>
  </si>
  <si>
    <t>2012. évi működési célú bevételek és kiadások mérlege (E Ft-ban)</t>
  </si>
  <si>
    <t>Működési bevétel</t>
  </si>
  <si>
    <t>Dologi kiadás (beruházási hitelkamat és ÁFA nélkül)</t>
  </si>
  <si>
    <t>Működési támogatás</t>
  </si>
  <si>
    <t>Pénzeszköz átadás, támogatás</t>
  </si>
  <si>
    <t>Szociális támogatás műk.</t>
  </si>
  <si>
    <t>Kölcsön visszatérülés, kölcsön bevétel</t>
  </si>
  <si>
    <t>Működési céltartalék</t>
  </si>
  <si>
    <t xml:space="preserve">Garancia és kezességvállalás </t>
  </si>
  <si>
    <t xml:space="preserve"> - Tatai Távhő Kft.-nek</t>
  </si>
  <si>
    <t xml:space="preserve"> - Városkapu Zrt-nek</t>
  </si>
  <si>
    <t>Kölcsönnyújtás, kölcsönvisszafizetés</t>
  </si>
  <si>
    <t xml:space="preserve"> - Tatai Városfejlesztő Kft.-nek</t>
  </si>
  <si>
    <t>- Víz-Zene-Virág Fesztivál Egyesület</t>
  </si>
  <si>
    <t>- Fényes-fürdő Kft.</t>
  </si>
  <si>
    <t>-Tatai Kenderke Népcántegyesület</t>
  </si>
  <si>
    <t>-Tatai TÁVHŐ Szolgáltató Kft.</t>
  </si>
  <si>
    <t>Pénzmaradvány átadás működési célra</t>
  </si>
  <si>
    <t>Egyenleg: -122 473</t>
  </si>
  <si>
    <t>Hiány és a finanszírozási kiadások fedezetének finansz.</t>
  </si>
  <si>
    <t xml:space="preserve"> - Belső forrás, pénzmaradvány </t>
  </si>
  <si>
    <t xml:space="preserve"> - Belső forrás, pénzmaradvány kötvényből a kötvénnyel kapcsolatos kiadásokra </t>
  </si>
  <si>
    <t>2012. évi fejlesztési célú bevételek és kiadások mérlege (E Ft-ban)</t>
  </si>
  <si>
    <t>ÁFA bevétel</t>
  </si>
  <si>
    <t>Felhalmozási támogatás</t>
  </si>
  <si>
    <t>Támogatás értékű felhalmozási kiadás és pénzeszközátadás</t>
  </si>
  <si>
    <t>Felhalmozási célú központosított támogatás</t>
  </si>
  <si>
    <t>Tartalékolt felhalmozási kiadásokhoz kapcsolódó támogatás értékű felhalmozási bevétel</t>
  </si>
  <si>
    <t>Felhalmozási célú pénzeszközátvétel</t>
  </si>
  <si>
    <t>Beruházási hitel kamat</t>
  </si>
  <si>
    <t>Kölcsön visszatérülések</t>
  </si>
  <si>
    <t>Kölcsönnyújtás</t>
  </si>
  <si>
    <t xml:space="preserve"> - Lakás célú</t>
  </si>
  <si>
    <t xml:space="preserve"> - lakáscélú</t>
  </si>
  <si>
    <t xml:space="preserve"> - Munkáltatói</t>
  </si>
  <si>
    <t>Adóbevételekből átcsoportosítás</t>
  </si>
  <si>
    <t>Felhalmozási céltartalék (Önkormányzati feladatokra)</t>
  </si>
  <si>
    <t xml:space="preserve"> - Építményadóból</t>
  </si>
  <si>
    <t>Felhalmozási céltartalék (IGH feladatokra)</t>
  </si>
  <si>
    <t xml:space="preserve"> - Iparűzési adóból</t>
  </si>
  <si>
    <t>Fizetendő ÁFA</t>
  </si>
  <si>
    <t>Lakbérbevétel átcsoportosítása</t>
  </si>
  <si>
    <t>Kötvény kamata</t>
  </si>
  <si>
    <t xml:space="preserve"> - Távhő Kft.-nek</t>
  </si>
  <si>
    <t xml:space="preserve"> - Tata-Tópart Viziközmű Társulat hitele és kamat</t>
  </si>
  <si>
    <t>Kötvény és hiteltörlesztés árfolyamkülönbözete</t>
  </si>
  <si>
    <t>Pénzmaradvány átadás felhalmozási célra</t>
  </si>
  <si>
    <t>Egyenleg: -1 220 848</t>
  </si>
  <si>
    <t xml:space="preserve"> - Belső finanszírozás, pénzmaradvány (Eu-s pályázatok előlegei, kötvényforrás maradványa)</t>
  </si>
  <si>
    <t>Finanszírozási kiadás beruházási hitel- és kötvény törlesztés</t>
  </si>
  <si>
    <t>Mindösszesen bevételek:</t>
  </si>
  <si>
    <t>Mindösszesen kiadások:</t>
  </si>
  <si>
    <t>Eötvös József Gimnázium sportcsarnokának tetőfelújítása 297/2012. (VII. 27.) Tata Kt. határozat, 331/2012. (IX.27.) Tata Kt. határozat</t>
  </si>
  <si>
    <t>Rákóczi u. 5. felújítása 452/2012. (IX.29.) Tata Kt. határozat</t>
  </si>
  <si>
    <t>Új úti vízelvezető árok áteresz építése</t>
  </si>
  <si>
    <t>Naszályi út zárt csapadékcsatorna korszerűsítés</t>
  </si>
  <si>
    <t>Mikovényi u. 49.-től a Kalló utcáig járda felújítása - Általános tartalékból</t>
  </si>
  <si>
    <t>Esze Tamás u. járda felújítás - Általános tartalék</t>
  </si>
  <si>
    <t>Kocsi utcai Idősek Klubja felújítása</t>
  </si>
  <si>
    <t>Kincseskert Óvoda és Csillagsziget Bölcsőde hőközponti rekonstrukciója</t>
  </si>
  <si>
    <t>Dobozi u. - Vértesszőlősi u. csomópont felújítására</t>
  </si>
  <si>
    <t>Kalló u. - Perényi u. között Mikovényi u. járda felújításra</t>
  </si>
  <si>
    <t>Vaszary J- Általános Iskola - Tetőfelújítás, tornacsarnok tetőfelújítás</t>
  </si>
  <si>
    <t>Vaszary J. Általános Iskola Jázmin úti Tagintézménye</t>
  </si>
  <si>
    <t>Kertvárosi óvoda - fűtési rendszer korszerűsítése</t>
  </si>
  <si>
    <t>2012. évi tartalékolt felújítási kiadások feladatonként (ÁFA-val)</t>
  </si>
  <si>
    <t>Vaszary Villa állagmegóvó munkáira 297/2010 (IX.1) sz. határozat</t>
  </si>
  <si>
    <t>Ady E. u. 15., Fenyő tér 1., Rákóczi u. 9. tetőjavítás 524/2011. (XII.1.) Tata Kt. határozat</t>
  </si>
  <si>
    <t>Fényes-fürdőn eszközök felújítása 528/2011 (XII.1.) Tata Kt. határozat</t>
  </si>
  <si>
    <t>Önkormányzati nem lakáscélú helységek felújítása</t>
  </si>
  <si>
    <t>Rákóczi u. 9. felújítása</t>
  </si>
  <si>
    <t>Fürdő u. 2. ingatlanon az életveszély elhárítására vonatkozó munkálatok</t>
  </si>
  <si>
    <t>Sport u. 34. ingatlanban művészettörténeti kutatás</t>
  </si>
  <si>
    <t>Játszóterek felújítás (bekerítés, új eszközök)</t>
  </si>
  <si>
    <t>Fáklya úti öltöző - WC blokk cseréje</t>
  </si>
  <si>
    <t>Fényes-fürdőn katonai medence felújítása</t>
  </si>
  <si>
    <t>Ravatalozó felújítása a Kocsi úti temetőben</t>
  </si>
  <si>
    <t>Ravatalozó előtér Környei úti temetőben</t>
  </si>
  <si>
    <t xml:space="preserve">Pénzmaradvány átvétel </t>
  </si>
  <si>
    <t>Szociális továbbképzés, szakvizsga,bölcsödei étkeztetés</t>
  </si>
  <si>
    <t>Szociális továbbképzés és szakvizsga, ingyenes bölcsödei étkeztetés</t>
  </si>
  <si>
    <t xml:space="preserve">Egyes szociális feladatok támogatása, ingyenes </t>
  </si>
  <si>
    <t>Garancia és kezességvállalás (TÁVHŐ és Városkapu)</t>
  </si>
  <si>
    <t>-Tatai Kenderke Néptáncegyesület</t>
  </si>
  <si>
    <t>-Tatai Távhőszolgáltató Kft.</t>
  </si>
  <si>
    <t>Kiegyenlítő,függő, átfutó bevételek</t>
  </si>
  <si>
    <t>Előző évi kiegészítések, visszatérülések</t>
  </si>
  <si>
    <t>Függő, átfutó, kiegyenlítő kiadás</t>
  </si>
  <si>
    <t>Tartalékolt felhalmozási kiadások</t>
  </si>
  <si>
    <t xml:space="preserve"> - Tartalékolt felhalmozási kiadásokhoz kapcsolódó támogatás értékű felhalmozási bevétel</t>
  </si>
  <si>
    <t>Működési céltartalék, normatíva elszámolás miatt elkülönített</t>
  </si>
  <si>
    <t>Felhalmozási tartalék egyéb feladatokra és kötvénytartalék</t>
  </si>
  <si>
    <t>Működési céltartalék és a normatíva elszámolás miatti elkülönített céltartalék</t>
  </si>
  <si>
    <t>Teljesítés (XII.31.)</t>
  </si>
  <si>
    <t>Teljesítés %-a</t>
  </si>
  <si>
    <t>Pénzkészlet egyeztetés:</t>
  </si>
  <si>
    <t>E Ft</t>
  </si>
  <si>
    <t>Nyitó pénzkészlet</t>
  </si>
  <si>
    <t>+ bevételek</t>
  </si>
  <si>
    <t>-  kiadások</t>
  </si>
  <si>
    <t>- pénzmaradvány</t>
  </si>
  <si>
    <t xml:space="preserve"> Tata Város Önkormányzatának 2012. évi közgazdasági mérlege (E Ft-ban)</t>
  </si>
  <si>
    <t xml:space="preserve">                                                                                                            Tata Város Önkormányzata és az általa irányított költségvetési szervek 2012. évi bevételei forrásonként ( E Ft-ban)</t>
  </si>
  <si>
    <t>17.1. melléklet a 14/2013. (V.2.) önkormányzati rendelethez</t>
  </si>
  <si>
    <t>17.2. melléklet a 14/2013. (V.2.) önkormányzati rendelethez</t>
  </si>
  <si>
    <t xml:space="preserve">Tata Város Önkormányzata és az általa irányított költségvetési szervek 2012. évi költségvetési kiadásai </t>
  </si>
  <si>
    <t>Felhalmozási ÁFA visszatérülés</t>
  </si>
  <si>
    <t>Tata Város Közterület-felügyelete</t>
  </si>
  <si>
    <t>Mód.(III.27.)</t>
  </si>
  <si>
    <t>Felhalmozási támogatás értékű kiadás és pénzeszközátadás</t>
  </si>
  <si>
    <t>Önkormányzat</t>
  </si>
  <si>
    <t>Önkormányzati Hivatal</t>
  </si>
  <si>
    <t>Záró pénzkészlet</t>
  </si>
  <si>
    <t>Felhalmozási kamatbevételek</t>
  </si>
  <si>
    <t>Egyéb működési bevétel (faértékesítés, temető fenntartás, rendezvényszervezés, üdülés, intézményi térítési díjak stb.)</t>
  </si>
  <si>
    <t xml:space="preserve">Tata Város Önkormányzatának </t>
  </si>
  <si>
    <t>ESZKÖZÖK</t>
  </si>
  <si>
    <t>Előző évi kv. beszámoló záró adatai</t>
  </si>
  <si>
    <t>Auditálási eltérések   (+-)</t>
  </si>
  <si>
    <t xml:space="preserve">Előző évi aud. egyszerűsített beszámoló </t>
  </si>
  <si>
    <t>Tárgyévi kv. beszámoló adatai</t>
  </si>
  <si>
    <t>Tárgyévi auditált  egysz. besz. adatai</t>
  </si>
  <si>
    <t>A)</t>
  </si>
  <si>
    <t>BEFEKTETETT ESZKÖZÖK ÖSSZESEN</t>
  </si>
  <si>
    <t>I.</t>
  </si>
  <si>
    <t>Immateriális javak</t>
  </si>
  <si>
    <t>II.</t>
  </si>
  <si>
    <t>Tárgyi eszközök</t>
  </si>
  <si>
    <t>III.</t>
  </si>
  <si>
    <t>Befektetett pénzügyi eszközök</t>
  </si>
  <si>
    <t>IV.</t>
  </si>
  <si>
    <t>Üzemeltetésre, kezelésre átadott eszközök</t>
  </si>
  <si>
    <t>B)</t>
  </si>
  <si>
    <t>FORGÓESZKÖZÖK ÖSSZESEN</t>
  </si>
  <si>
    <t>Készletek</t>
  </si>
  <si>
    <t>Követelések</t>
  </si>
  <si>
    <t>Értékpapírok</t>
  </si>
  <si>
    <t>Pénzeszközök</t>
  </si>
  <si>
    <t>V.</t>
  </si>
  <si>
    <t>Egyéb aktív pénzügyi elszámolások</t>
  </si>
  <si>
    <t>ESZKÖZÖK ÖSSZESEN</t>
  </si>
  <si>
    <t>FORRÁSOK</t>
  </si>
  <si>
    <t>D)</t>
  </si>
  <si>
    <t>SAJÁT TŐKE ÖSSZESE</t>
  </si>
  <si>
    <t>Tartós tőke</t>
  </si>
  <si>
    <t xml:space="preserve">2. </t>
  </si>
  <si>
    <t>Tőkeváltozások</t>
  </si>
  <si>
    <t>Értékelési tartalék</t>
  </si>
  <si>
    <t>E)</t>
  </si>
  <si>
    <t>TARTALÉKOK ÖSSZESEN</t>
  </si>
  <si>
    <t>Költségvetési tartalékok</t>
  </si>
  <si>
    <t xml:space="preserve">II. </t>
  </si>
  <si>
    <t>Vállalkozási tartalékok</t>
  </si>
  <si>
    <t>F)</t>
  </si>
  <si>
    <t>KÖTELEZETTSÉGEK ÖSSZESEN</t>
  </si>
  <si>
    <t>Rövid lejáratú kötelezettségek</t>
  </si>
  <si>
    <t>Egyéb passzív pénzügyi elszámolások</t>
  </si>
  <si>
    <t>FORRÁSOK ÖSSZESEN</t>
  </si>
  <si>
    <r>
      <t xml:space="preserve">Auditálási eltérések     </t>
    </r>
    <r>
      <rPr>
        <i/>
        <sz val="10"/>
        <rFont val="Times New Roman CE"/>
        <family val="1"/>
      </rPr>
      <t>(+-)</t>
    </r>
    <r>
      <rPr>
        <sz val="10"/>
        <rFont val="Times New Roman CE"/>
        <family val="1"/>
      </rPr>
      <t xml:space="preserve">        </t>
    </r>
  </si>
  <si>
    <t>Kapott fenntartói kölcsön</t>
  </si>
  <si>
    <t>Támogatás értékű működési kiadások és működési célú pénzeszközátadás</t>
  </si>
  <si>
    <t>Normatív és kötött felhasználású támogatások</t>
  </si>
  <si>
    <t>Kamat bevétel</t>
  </si>
  <si>
    <t>Sajátos működési bevétel</t>
  </si>
  <si>
    <t xml:space="preserve"> - Építményadó</t>
  </si>
  <si>
    <t xml:space="preserve"> - Telekadó</t>
  </si>
  <si>
    <t xml:space="preserve"> - Idegenforgalmi adó</t>
  </si>
  <si>
    <t xml:space="preserve"> - Iparűzési adó</t>
  </si>
  <si>
    <t xml:space="preserve"> - Késedelmi pótlék</t>
  </si>
  <si>
    <t xml:space="preserve"> - Egyéb beszedési szla (pénzbírság, helyszíni bírság)</t>
  </si>
  <si>
    <t>Átengedett központi adók</t>
  </si>
  <si>
    <t xml:space="preserve"> - Átengedett SZJA</t>
  </si>
  <si>
    <t xml:space="preserve"> - Gépjárműadó</t>
  </si>
  <si>
    <t xml:space="preserve"> - Termőföld bérbeadásból SZJA</t>
  </si>
  <si>
    <t>Bérleti díj</t>
  </si>
  <si>
    <t>Egyéb működési bevételek</t>
  </si>
  <si>
    <t>Támogatás értékű működési bevétel TB-től</t>
  </si>
  <si>
    <t>Felhalmozási és tőke jellegű bevétel</t>
  </si>
  <si>
    <t>Központosított előirányzatokból</t>
  </si>
  <si>
    <t>Lakásértékesítés (részletek)</t>
  </si>
  <si>
    <t>Felhalmozási kamat bevétel</t>
  </si>
  <si>
    <t xml:space="preserve"> - Felhalmozási célú pénzeszközátvétel</t>
  </si>
  <si>
    <t>Támogatási kölcsönök visszatérülése, igénybevétele</t>
  </si>
  <si>
    <t>Kötvénykibocsátás, hitelfelvétel</t>
  </si>
  <si>
    <t>BEVÉTELEK MINDÖSSZESEN</t>
  </si>
  <si>
    <t>Egyéb működési kiadás</t>
  </si>
  <si>
    <t>Támogatási kölcsönök</t>
  </si>
  <si>
    <t>Működési</t>
  </si>
  <si>
    <t>Felhalmozási</t>
  </si>
  <si>
    <t>Támogatási kölcsönök nyújtása, törlesztése</t>
  </si>
  <si>
    <t>KIADÁSOK MINDÖSSZESEN</t>
  </si>
  <si>
    <t>Felhalmozási céltartalék az IGH-hoz tarttozó intézmények beruházási és felújítási feladataira</t>
  </si>
  <si>
    <t>Tartalékolt beruházási kiadások</t>
  </si>
  <si>
    <t>Tartalékolt felújítási kiadások</t>
  </si>
  <si>
    <t>Tartalékolt támogatás értékű felhalmozási kiadások és felhalmozási célú pénzeszköz átadás</t>
  </si>
  <si>
    <t>Felhalmozási tartalék</t>
  </si>
  <si>
    <t>Helyi adók</t>
  </si>
  <si>
    <t>Működési támogatások</t>
  </si>
  <si>
    <t>Egyéb, működési bevételek</t>
  </si>
  <si>
    <t>Működési célú pénzeszközátvétel</t>
  </si>
  <si>
    <t>Felhalmozási és tőke jellegű bevételek</t>
  </si>
  <si>
    <t>Föld értékesítés</t>
  </si>
  <si>
    <t>Üzemeltetés, bérbeadás bevétele</t>
  </si>
  <si>
    <t>Üzletrész értékesítés bevétele</t>
  </si>
  <si>
    <t>Felhalmozási támogatások</t>
  </si>
  <si>
    <t>Önkormányzatok sajátos működési bevételi</t>
  </si>
  <si>
    <t>Fejlesztési célú támogatások (címzett, cél, vis maior)</t>
  </si>
  <si>
    <t>Egyéb felhalmozási bevételek</t>
  </si>
  <si>
    <t>Tatai Távhő Kft. veszteségének rendezésére</t>
  </si>
  <si>
    <t>Víz, Zene, Virág Fesztivál Egyesület támogatása</t>
  </si>
  <si>
    <t>Háziorvosoknak nemzetközi egyezmény alapján OEP-től kapott támogatás átadása</t>
  </si>
  <si>
    <t xml:space="preserve"> - Támogatás értékű felhalmozási bevételek</t>
  </si>
  <si>
    <t xml:space="preserve"> - Felhalmozási célú pénzeszköz átvétel</t>
  </si>
  <si>
    <t>Talajterhelési díj</t>
  </si>
  <si>
    <t>Bérleti díjak</t>
  </si>
  <si>
    <t>Lakbér</t>
  </si>
  <si>
    <t>Áfa bevétel</t>
  </si>
  <si>
    <t>Bírságok</t>
  </si>
  <si>
    <t>Tata Város Önkormányzatának Európai uniós támogatással megvalósuló projektjeinek bevételei és kiadásai a beadott kérelmek alapján (E Ft-ban)</t>
  </si>
  <si>
    <t>EU-s projekt neve, azonosítója:</t>
  </si>
  <si>
    <t>Tatai Angolpark rehabilitációja KDOP -2.1.1/B-2f-2009-0002</t>
  </si>
  <si>
    <t>Támogatási szerződés kötés időpontja:</t>
  </si>
  <si>
    <t>Megvalósítás tervezett ideje:</t>
  </si>
  <si>
    <t>2013.</t>
  </si>
  <si>
    <t>Források</t>
  </si>
  <si>
    <t>Ebből 2012-ben teljesített:</t>
  </si>
  <si>
    <t>Saját erő, az el nem számolható költségekkel együtt:</t>
  </si>
  <si>
    <t xml:space="preserve"> - saját erőből NFM EU Önerő-támogatás</t>
  </si>
  <si>
    <t>EU-s forrás a támogatási szerződés szerint:</t>
  </si>
  <si>
    <t>Kiadások összesen:</t>
  </si>
  <si>
    <t>EU-s forrás a benyújtott pályázat szerint:</t>
  </si>
  <si>
    <t>Ökoturisztikai tanösvény kialakítása a tatai Fényes-Fürdő területén KDOP-2.1.1/B-12-2012-0046</t>
  </si>
  <si>
    <t>Támogatási szerződés kötés várható időpontja:</t>
  </si>
  <si>
    <t xml:space="preserve">A támogatási szerződés megkötése folyamatban van. </t>
  </si>
  <si>
    <t>2013-2014</t>
  </si>
  <si>
    <t xml:space="preserve"> - saját erőből központi támogatás</t>
  </si>
  <si>
    <t>Tata, Kossuth tér városközpont értékmegőrző rehabilitációja KDOP–3.1.1/A–09-1f-2010-0001</t>
  </si>
  <si>
    <t>Eu-s forrás a benyújtott pályázat szerint:</t>
  </si>
  <si>
    <t>A tatai Kőkúti Általános Iskolában működő multifunkcionális sportpálya létrehozása</t>
  </si>
  <si>
    <t>A pályázat bírálatára várunk.</t>
  </si>
  <si>
    <t>Saját erő:</t>
  </si>
  <si>
    <t>Tata, Deák Ferenc utca önkormányzati tulajdonú belterületi út fejlesztése KDOP-4.2.1/B-11-2012-0022</t>
  </si>
  <si>
    <t>A bírálati folyamat eredményeképpen a pályázat tartaléklistára került.</t>
  </si>
  <si>
    <t>Tata, Baji út és a Kertváros kerékpáros forgalmának komplex rendezése KDOP- 4.2.2-11-2011-0008</t>
  </si>
  <si>
    <t>Nyertes pályázat, támogatási szerződés előkészítése folyamatban.</t>
  </si>
  <si>
    <t>Támogatási szerződés kötésidőpontja:</t>
  </si>
  <si>
    <t>A munka és a magánélet összehangolását segítő helyi kezdeményezések megvalósítása Tata városában TÁMOP-2.4.5-12/3-2012-0028</t>
  </si>
  <si>
    <t>Nyertes, szerződés kötés folyamatban</t>
  </si>
  <si>
    <t>A munka és a magánélet összehangolása a Tatai Polgármesteri Hivatalban TÁMOP-2.4.5-12/7-2012-0705</t>
  </si>
  <si>
    <t>Tartaléklistára került.</t>
  </si>
  <si>
    <t>Egészségre nevelő és szemléletformáló életmódprogramok a Tatai Kistérségben TÁMOP-6.1.2/11/3</t>
  </si>
  <si>
    <t>Benyújtott pályázat, a bírálatra várunk</t>
  </si>
  <si>
    <t>Óvodafejlesztés TÁMOP-3.1.11-12/1.2</t>
  </si>
  <si>
    <t>A pályázat bírálatára várunk</t>
  </si>
  <si>
    <t>Vár a könyvt@r - Együtt a kultúráért Tata és környékén TÁMOP-3.213-12/1-2012-0173</t>
  </si>
  <si>
    <t>Szabad utat a tehetségnek TÁMOP 3.4.3-08/2-2009-0140 (KŐKÚTI ÁLTALÁNOS ISKOLA ÉS VASZARY JÁNOS ÁLTALÁNOS ISKOLA KONZORCIUM)</t>
  </si>
  <si>
    <t>2010. június 9.</t>
  </si>
  <si>
    <t>2011. július 31.</t>
  </si>
  <si>
    <t>-</t>
  </si>
  <si>
    <t>A Kőkúti XXI. Századi jövőért TÁMOP-3.1.7.-11/2-00230</t>
  </si>
  <si>
    <t>Szárnyaló képzelet TÁMOP-3.4.4-B/11-2-2012-0019</t>
  </si>
  <si>
    <t>TUDÁSDEPÓ EXPRESSZ A Könyvtári hálózat nem formális és informális képzési szerepének erősítése az élethosstig tartó tanulás érdekében- Könyvtárhasználók igényeinek hatékonyabb kielégítését szolgáló fejlesztés TÁMOP-3.2.4-08/1-2009-0047 MÓRICZ ZSIGMOND VÁR</t>
  </si>
  <si>
    <t>2010. február 5.</t>
  </si>
  <si>
    <t>2012. február 28.</t>
  </si>
  <si>
    <t>Új u.-i Bölcsöde, férőhely bővítés KDOP-2009.5.2.2/B</t>
  </si>
  <si>
    <t>2010. augusztus 3.</t>
  </si>
  <si>
    <t>Gondoskodó kistérség, szociális alapellátások minőségi fejlesztése KDOP-2009-5.2.2/A</t>
  </si>
  <si>
    <t>2010. augusztus 5.</t>
  </si>
  <si>
    <t>2010-2011</t>
  </si>
  <si>
    <t>Informatikai infrastruktúra -fejlesztés a tatai általános iskolákban és Az intelligens iskola modell infrastrukturális hátterének kialakítása Tardoson TIOP-1.1.1-07/1-2008-0525 és TIOP-1.1.1-07/1-2008-1096</t>
  </si>
  <si>
    <t>Befogadó élettér Tatán TÁMOP-3.4.2.A/11-2-2012-0004</t>
  </si>
  <si>
    <t>2012. szeptember 01.</t>
  </si>
  <si>
    <t>Átengedett központi adók (gépjárműadó, átengedett SZJA, termőföld bérbeadásából származó SZJA)</t>
  </si>
  <si>
    <t>Dologi és egyéb folyó kiadások</t>
  </si>
  <si>
    <t>Egyéb működési kiadások</t>
  </si>
  <si>
    <t>Önkormányzat által folyósított társadalom- és szociálpolitikai juttatások</t>
  </si>
  <si>
    <t>Beruházási kiadások</t>
  </si>
  <si>
    <t>Felújítási kiadások</t>
  </si>
  <si>
    <t>Kamat kiadások</t>
  </si>
  <si>
    <t>Támogatás értékű felhalmozási kiadások és felhalmozási célú pénzeszközátadások</t>
  </si>
  <si>
    <t>Lakáscélra</t>
  </si>
  <si>
    <t>Működési tartalék</t>
  </si>
  <si>
    <t>Céltartalék</t>
  </si>
  <si>
    <t>Egyéb kölcsön</t>
  </si>
  <si>
    <t>Garancia és kezességvállalás</t>
  </si>
  <si>
    <t>Hatósági szolgáltatási díj és intézményi működési bevétel</t>
  </si>
  <si>
    <t xml:space="preserve"> - Tatai Városfejlesztő Kft-nek</t>
  </si>
  <si>
    <t>Kincseskert Óvoda</t>
  </si>
  <si>
    <t>Szociális Alapellátó Intézmény</t>
  </si>
  <si>
    <t>Hiteltörlesztés</t>
  </si>
  <si>
    <t>Hiány és a finanszírozási kiadások fedezetének finanszírozása:</t>
  </si>
  <si>
    <t>-működési célra</t>
  </si>
  <si>
    <t>-felhalmozási célra</t>
  </si>
  <si>
    <t>Finanszírozási bevételek összesen:</t>
  </si>
  <si>
    <t xml:space="preserve"> - Belső finanszírozás, pénzmaradvány </t>
  </si>
  <si>
    <t xml:space="preserve"> - Külső finanszírozás kötvény kibocsátás, hitel felvétel </t>
  </si>
  <si>
    <t>Intézményi működési bevétel</t>
  </si>
  <si>
    <t>Önkormányzat működési bevétele</t>
  </si>
  <si>
    <t>Működési támogatások, kiegészítések</t>
  </si>
  <si>
    <t>Intézmények Gazdasági Hivatala és a hozzá tartozó költségvetési szervek</t>
  </si>
  <si>
    <t>Kőkúti Általános Iskola</t>
  </si>
  <si>
    <t>Bevételek</t>
  </si>
  <si>
    <t>Finanszírozási kiadások összesen:</t>
  </si>
  <si>
    <t xml:space="preserve"> - lakossági</t>
  </si>
  <si>
    <t xml:space="preserve"> - munkáltatói</t>
  </si>
  <si>
    <t>Egyéb ingatlan értékesítés</t>
  </si>
  <si>
    <t>Egyéb ingatlanértékesítés</t>
  </si>
  <si>
    <t>Felújítás ( ÁFA-val )</t>
  </si>
  <si>
    <t>( kiemelt előirányzatok szerinti részletezésben ) E Ft-ban</t>
  </si>
  <si>
    <t>Szivárvány Óvoda</t>
  </si>
  <si>
    <t>Hiteltörlesztés - hosszú lejáratú</t>
  </si>
  <si>
    <t>Eredeti</t>
  </si>
  <si>
    <t xml:space="preserve">Eredeti </t>
  </si>
  <si>
    <t>Kiadások</t>
  </si>
  <si>
    <t>Összesen</t>
  </si>
  <si>
    <t>Személyi juttatások</t>
  </si>
  <si>
    <t>Dologi kiadások</t>
  </si>
  <si>
    <t>Beruházás ( ÁFA-val )</t>
  </si>
  <si>
    <t>Bevételi előirányzat</t>
  </si>
  <si>
    <t>Kiadási előirányzat</t>
  </si>
  <si>
    <t>Beruházás</t>
  </si>
  <si>
    <t>Földterület értékesítés</t>
  </si>
  <si>
    <t>Ellátottak pénzbeli juttatása</t>
  </si>
  <si>
    <t>Felújítás</t>
  </si>
  <si>
    <t>Fürdő utcai Óvoda</t>
  </si>
  <si>
    <t>Geszti Óvoda</t>
  </si>
  <si>
    <t>Költségvetési bevételek összesen:</t>
  </si>
  <si>
    <t>Költségvetési kiadások összesen:</t>
  </si>
  <si>
    <t>Hitel- és kötvénytörlesztés (fejlesztési célú)</t>
  </si>
  <si>
    <t>Kötvénytörlesztés</t>
  </si>
  <si>
    <t>Hatósági szolgáltatási díj</t>
  </si>
  <si>
    <t>Normatíva és kötött felhasználású támogatás</t>
  </si>
  <si>
    <t>Egyes szociális feladatok támogatás</t>
  </si>
  <si>
    <t>Fejlesztési célú támogatások - központosított támogatások</t>
  </si>
  <si>
    <t>Költségvetési alcím megnevezése</t>
  </si>
  <si>
    <t>Egyéb saját bevétel</t>
  </si>
  <si>
    <t>Egyéb saját bevételből ellátottak étkezési térítési díj bevétele</t>
  </si>
  <si>
    <t>ÁFA</t>
  </si>
  <si>
    <t>Átvett pénzeszközök</t>
  </si>
  <si>
    <t>Támogatásértékű bevétel</t>
  </si>
  <si>
    <t>Tárgyi eszköz, immat. javak értékesítése</t>
  </si>
  <si>
    <t>Bevételek összesen</t>
  </si>
  <si>
    <t>Kiadások összesen</t>
  </si>
  <si>
    <t>működési célra</t>
  </si>
  <si>
    <t>felhalmozási célra</t>
  </si>
  <si>
    <t>pénzforalom nélküli</t>
  </si>
  <si>
    <t>előző évi átvétele</t>
  </si>
  <si>
    <t>M.adókat terhelő jár.</t>
  </si>
  <si>
    <t>Dologi</t>
  </si>
  <si>
    <t>Dologiból ellátottakra vonatkozó élelmiszer beszerzés és vásárolt élelmezés</t>
  </si>
  <si>
    <t>Pénzbeli juttatás</t>
  </si>
  <si>
    <t>össz</t>
  </si>
  <si>
    <t>Kertvárosi Óvoda</t>
  </si>
  <si>
    <t>Bergengócia Óvoda</t>
  </si>
  <si>
    <t>Általános tartalék</t>
  </si>
  <si>
    <t>Lakásértékesítés</t>
  </si>
  <si>
    <t>Munkaadókat terhelő járulékok</t>
  </si>
  <si>
    <t>Tárgyi eszköz értékesítés</t>
  </si>
  <si>
    <t>Támogatás értékű működési bevételek</t>
  </si>
  <si>
    <t>Felhalmozási céltartalék kötvénytartalékkal</t>
  </si>
  <si>
    <t xml:space="preserve"> - Víz-Zene-Virág Fesztivál Egyesület</t>
  </si>
  <si>
    <t xml:space="preserve"> - Tata Fénye-fürdő Kft. részére</t>
  </si>
  <si>
    <t>Pénzmaradvány átadás</t>
  </si>
  <si>
    <t>-működési</t>
  </si>
  <si>
    <t>-felhalmozási</t>
  </si>
  <si>
    <t>-felhalmozásra</t>
  </si>
  <si>
    <t>-kötvényre</t>
  </si>
  <si>
    <t>- működésre</t>
  </si>
  <si>
    <t>Képződött pénzmaradvány</t>
  </si>
  <si>
    <t>Vaszary - Logopédiai Intézet</t>
  </si>
  <si>
    <t>Vaszary-Jázmin Tagint.</t>
  </si>
  <si>
    <t>Vaszary - Tardosi Tagint.</t>
  </si>
  <si>
    <t>Kőkúti Általános Iskola - Fazekas U. Tagintézmény</t>
  </si>
  <si>
    <t>Kvi. alcímek és szakf. Összesen:</t>
  </si>
  <si>
    <t>Előző évi pénzmaradvány átvétel</t>
  </si>
  <si>
    <t>Pénzmaradvány</t>
  </si>
  <si>
    <t>Munkaadót terhelő járulékok és szociális hozzájárulási adó</t>
  </si>
  <si>
    <t>Dologi és dologi jellegű kiadások</t>
  </si>
  <si>
    <t>Ebből kamatkiadások</t>
  </si>
  <si>
    <t>Kölcsön nyújtása lakáscélra:</t>
  </si>
  <si>
    <t>Működési kiadások</t>
  </si>
  <si>
    <t>Felhalmozási kiadások</t>
  </si>
  <si>
    <t>Teljesítés</t>
  </si>
  <si>
    <t>Távhő koncessziós bevétel</t>
  </si>
  <si>
    <t xml:space="preserve">Árpád-házi Szent Erzsébet Szakkórház és Rendelőintézet  
</t>
  </si>
  <si>
    <t>Felhalmozási áfa visszatérülés</t>
  </si>
  <si>
    <t>Kiegyenlítő, függő, átfutó</t>
  </si>
  <si>
    <t>Bírságok (közterület 3 000)</t>
  </si>
  <si>
    <t>Bartók B. utcai Óvoda</t>
  </si>
  <si>
    <t>Bölcsöde</t>
  </si>
  <si>
    <t>Vaszary J. Általános Iskola</t>
  </si>
  <si>
    <t>Vaszary összesen</t>
  </si>
  <si>
    <t>Kőkúti összesen</t>
  </si>
  <si>
    <t>Zeneiskola</t>
  </si>
  <si>
    <t>Könyvtár</t>
  </si>
  <si>
    <t>SZAI Jelzőrendszeres házi segítségnyújtás</t>
  </si>
  <si>
    <t>SZAI Támogató szolgálat</t>
  </si>
  <si>
    <t>SZAI Közösségi</t>
  </si>
  <si>
    <t>SZAI nappali, családsegítő és gyermekjóléti, szociális étkezés, éjjeli menedékhely, házigondozás</t>
  </si>
  <si>
    <t>Intézmények Gazdasági Hivatala</t>
  </si>
  <si>
    <t>Támogatás értékű működési kiadás és pénzeszközátadás</t>
  </si>
  <si>
    <t>Tata Város Önkormányzata</t>
  </si>
  <si>
    <t>2012. évi egyszerűsített mérlege</t>
  </si>
  <si>
    <t>1. Helyi adók, gépjárműadó:</t>
  </si>
  <si>
    <t>Önkormányzati döntés alapján (I-III)</t>
  </si>
  <si>
    <t>I. Adóelengedés</t>
  </si>
  <si>
    <t>1) Építményadó</t>
  </si>
  <si>
    <t xml:space="preserve"> - jövedelemhez kötött mentesség</t>
  </si>
  <si>
    <t xml:space="preserve"> - lakás célú 30 m2 alatti zártkerti építmény</t>
  </si>
  <si>
    <t>2.) Iparűzési adó:</t>
  </si>
  <si>
    <t xml:space="preserve"> - 2,5 M Ft alatti vállalkozási szintű adóalap</t>
  </si>
  <si>
    <t>Adóelengedés összesen:</t>
  </si>
  <si>
    <t>II. Adókedvezmény:</t>
  </si>
  <si>
    <t>Építményadó</t>
  </si>
  <si>
    <t xml:space="preserve"> - üdülő lakás adómértékkel</t>
  </si>
  <si>
    <t>Adókedvezmény összesen:</t>
  </si>
  <si>
    <t>III. Méltányossági eljárás keretében nyújtott adó,- pótlék,- és bírság elengedés, valamint fizetési könnyítés részletfizetésre, fizetési halasztásra vonatkozóan:</t>
  </si>
  <si>
    <t>Adóelengedés /az előírt adó méltányossági kérelem alapján elengedésre került/</t>
  </si>
  <si>
    <t xml:space="preserve"> - építményadó</t>
  </si>
  <si>
    <t xml:space="preserve"> - telekadó</t>
  </si>
  <si>
    <t xml:space="preserve"> - iparűzési adó</t>
  </si>
  <si>
    <t xml:space="preserve"> - gépjárműadó</t>
  </si>
  <si>
    <t xml:space="preserve"> - késedelmi pótlék, bírság</t>
  </si>
  <si>
    <t xml:space="preserve"> - talajterhelési díj</t>
  </si>
  <si>
    <t>Részletfizetési kedvezmény összesen:</t>
  </si>
  <si>
    <t xml:space="preserve"> - késedelmi pótlék</t>
  </si>
  <si>
    <t>Fizetési halasztás összesen:</t>
  </si>
  <si>
    <t>Összes közvetett támogatás helyi adóknál és gépjárműadónál:</t>
  </si>
  <si>
    <t>2. Ellátottak térítési díjának, kártérítésének méltányossági elengedése:</t>
  </si>
  <si>
    <t>Összes közvetett támogatás:</t>
  </si>
  <si>
    <t>(Vaszary Ált. Iskola 203 E Ft, Fazekas utcai Ált. Iskola 10 E Ft, Szoc. Alapellátó 24 E Ft)</t>
  </si>
  <si>
    <t>Megnevezés</t>
  </si>
  <si>
    <t xml:space="preserve">Önkormányzat </t>
  </si>
  <si>
    <t>Közterület-felügyelet</t>
  </si>
  <si>
    <t>Polgármesteri Hivatal</t>
  </si>
  <si>
    <t>Intézmények Gazdasági Hivatala és a hozzá tartozó önállóan gazdálkodó intézmények</t>
  </si>
  <si>
    <t>A rövid lejáratú költségvetési pénzforgalmi és betétszámlák záróegyenlegei</t>
  </si>
  <si>
    <t>Pénztárak és betétkönyvek záróegyenlegei</t>
  </si>
  <si>
    <t>Költségvetési aktív függő elszámolások záróegyenlege</t>
  </si>
  <si>
    <t>Költségvetési aktív átfutó elszámolások záróegyenlege</t>
  </si>
  <si>
    <t>Költségvetési aktív kiegyenlítő elszámolások záróegyenlege</t>
  </si>
  <si>
    <t>Költségvetési aktív elszámolások záróegyenlege</t>
  </si>
  <si>
    <t>Költségvetési passzív függő elszámolások záróegyenlege (-)</t>
  </si>
  <si>
    <t>Költségvetési passzív átfutó elszámolások záróegyenlege (-)</t>
  </si>
  <si>
    <t>Költségvetési passzív elszámolások záróegyenlege (-)</t>
  </si>
  <si>
    <t>Egyéb aktív és passzív pénzügyi elszámolások összesen (+,-)</t>
  </si>
  <si>
    <t>Tárgyévi helyesbített pénzmaradvány</t>
  </si>
  <si>
    <t>Költségvetési kiutalás kiutalatlan intézményi támogatás miatt</t>
  </si>
  <si>
    <t>Költségvetési kiutalás kiutalatlan támogatás miatt</t>
  </si>
  <si>
    <t>Finanszírozásból származó korrekciók</t>
  </si>
  <si>
    <t>Költségvetési pénzmaradvány</t>
  </si>
  <si>
    <t>Módosított pénzmaradvány</t>
  </si>
  <si>
    <t>Kötelezettséggel terhelt pénzmaradvány</t>
  </si>
  <si>
    <t>Cég neve</t>
  </si>
  <si>
    <t xml:space="preserve">Névérték Ft 2011. 12.31-én </t>
  </si>
  <si>
    <t>Névérték Ft 2012. 12.31-én</t>
  </si>
  <si>
    <t>Értékelés után könyvszerinti érték 2011. 12.31-én</t>
  </si>
  <si>
    <t>Könyvszerinti érték  2012. 12.31-én</t>
  </si>
  <si>
    <t>Részesedések aránya %-ban</t>
  </si>
  <si>
    <t>Vértesi Erőmű Zrt.</t>
  </si>
  <si>
    <t>Bábolna Zrt.</t>
  </si>
  <si>
    <t>Tatai Távhőszolgáltató Kft.</t>
  </si>
  <si>
    <t>Tatai Városgzada Nonprofit Kft.</t>
  </si>
  <si>
    <t>Tatai Városfejlesztő Kft.</t>
  </si>
  <si>
    <t>Közép-Duna Vidéke Hulladékgazdálkodási Vagyonkezelő és Közszolgáltató Zrt.</t>
  </si>
  <si>
    <t>Tata-Bérlakás Ingatlanfejlesztési és Beruházási Kft.</t>
  </si>
  <si>
    <t>Tatai Városkapu  Közhasznú  Zrt.</t>
  </si>
  <si>
    <t>PANNON GASTROLAND Zrt.</t>
  </si>
  <si>
    <t>Tatai Fényes Fürdő Kft.</t>
  </si>
  <si>
    <t>Részesedések (E Ft-ban)</t>
  </si>
  <si>
    <t>Működési célú kötelezettséggel terhelt pénzmaradvány</t>
  </si>
  <si>
    <t>Felhalmozási célú kötelezettséggel terhelt pénzmaradvány</t>
  </si>
  <si>
    <t>Szabad pénzmaradvány</t>
  </si>
  <si>
    <t xml:space="preserve">Pénzmaradvány </t>
  </si>
  <si>
    <t>PH kifizetői adó + járulék</t>
  </si>
  <si>
    <t>Év végi jutalom</t>
  </si>
  <si>
    <t>Erzsébetutalvány</t>
  </si>
  <si>
    <t>Járulékok</t>
  </si>
  <si>
    <t>Kifizetetlen száma + egyéb köt.</t>
  </si>
  <si>
    <t>Reprezentáció utáni járulék</t>
  </si>
  <si>
    <t>Költségvetésben tervezett pénzmaradvány működés</t>
  </si>
  <si>
    <t xml:space="preserve">Felhalmozási: költségvetésben tervezett </t>
  </si>
  <si>
    <t>Árfolyamnyereség miatt</t>
  </si>
  <si>
    <t>Önkormányzat adósságállományának évenkénti alakulása (E Ft)</t>
  </si>
  <si>
    <t>Adósságállomány törlesztő részlete a tárgyévet követő</t>
  </si>
  <si>
    <t>Hosszú lejáratú kötelezettségek</t>
  </si>
  <si>
    <t>1. évben</t>
  </si>
  <si>
    <t>2. évben</t>
  </si>
  <si>
    <t>3. évben</t>
  </si>
  <si>
    <t>4. évben</t>
  </si>
  <si>
    <t>5. évben</t>
  </si>
  <si>
    <t>Tartozások fejlesztési célú, devizában  kibocsátott kötvényből</t>
  </si>
  <si>
    <t>ebből: svájci frankban kibocsátott kötvény</t>
  </si>
  <si>
    <t>Forintban felvett beruházási és fejlesztési hitelek</t>
  </si>
  <si>
    <t>Devizában  felvett beruházási és fejlesztési hitelek</t>
  </si>
  <si>
    <t>ebből: svájci frankban felvett hitel</t>
  </si>
  <si>
    <t>Egyéb hosszú lejáratú, forintban fennálló kötelezettségek</t>
  </si>
  <si>
    <t>EGYSZERŰSÍTETT VÁLLALKOZÁSI MARADVÁNY-KIMUTATÁS ELŐÍRT TAGOLÁSA</t>
  </si>
  <si>
    <t>Előző évi beszámoló záró adatai</t>
  </si>
  <si>
    <t>Előző évi aud.  Egyszerűsített beszámoló záró adatai</t>
  </si>
  <si>
    <t>Tárgyévi kv. beszámoló záró adatai</t>
  </si>
  <si>
    <t>Vállalkozási tevékenység működési célú bevételei</t>
  </si>
  <si>
    <t>Vállalkozási tevékenység felhalmozási célú bevételei</t>
  </si>
  <si>
    <t>Váll. Tev.forgatási célú finansz.,passzív pü.elszám.bev.</t>
  </si>
  <si>
    <t>Vállalkozási tev. Szakfeladaton elsz. Bevételei (1+2+3)</t>
  </si>
  <si>
    <t>Vállalkozási tevékenység működési célú kiadásai</t>
  </si>
  <si>
    <t>Vállalkozási tevékenység felhalmozási célú kiadásai</t>
  </si>
  <si>
    <t>Váll. Tev.forgatási célú finansz.,aktív pü. Kiadásai</t>
  </si>
  <si>
    <t>B. Vállalkozási tev. Kiadásai (4+5+6) (-)</t>
  </si>
  <si>
    <t>C. Vállalkozási tevékenység pénzforgalmi maradványa (A-B)</t>
  </si>
  <si>
    <t>7. Vállalkozási tevékenységet terheli értékcsökkenési leírás (-)</t>
  </si>
  <si>
    <t>8. Alaptev. ellát-ra felhasznált, tervezett maradvány (-)</t>
  </si>
  <si>
    <t>Pénzforg. Maradványt jogszabály alapján módosító egyéb t.</t>
  </si>
  <si>
    <t>D. Váll. Tevék. Módosított pénzforg.-i váll. Maradv. (C-7-8+9)</t>
  </si>
  <si>
    <t>E. Vállalkozási tevék.-et terheli befizetési kötelezettség (-)</t>
  </si>
  <si>
    <t>Vállalkozási TARTALÉKBA helyezhető összeg (C-8-9-E)</t>
  </si>
  <si>
    <t>Hosszú lejáratú, forintban fennálló kötelezettségek évenkénti törlesztő részletei összesen:</t>
  </si>
  <si>
    <t xml:space="preserve"> Kötvénykibocsátásból rendelkezésre álló fejlesztési forrás felhasználás (E Ft-ban)</t>
  </si>
  <si>
    <t>2012. év</t>
  </si>
  <si>
    <t>2008. évben kibocsátott kötvény</t>
  </si>
  <si>
    <t>Kötvénykibocsátásból bevétel:</t>
  </si>
  <si>
    <t xml:space="preserve">Előző évi pénzmaradvány </t>
  </si>
  <si>
    <t>Pénzügyi befektetés kamata (kötvény)</t>
  </si>
  <si>
    <t>Támogatásértékű felhalmozási célú bevételek:</t>
  </si>
  <si>
    <t xml:space="preserve"> - Gondoskodó Kistérség KDOP-5.2.2/A-09-2009-0006</t>
  </si>
  <si>
    <t xml:space="preserve"> - Új úti Bölcsőde bővítése projekt KDOP-5.2.2/B-09-2009-0004</t>
  </si>
  <si>
    <t>Bevételek összesen:</t>
  </si>
  <si>
    <t>Kötvénykibocsátásból tervezett kiadások</t>
  </si>
  <si>
    <t>Önkormámyzati intézmények 2012. évi pénzügyi ellátottsága (E Ft-ban)</t>
  </si>
  <si>
    <t>Intézmények megnevezése</t>
  </si>
  <si>
    <t>Ellátottak átlagszáma (mutatószám)</t>
  </si>
  <si>
    <t xml:space="preserve">Működési kiadás </t>
  </si>
  <si>
    <t>1 ellátottra jutó kiadás                 (E Ft/mutató)</t>
  </si>
  <si>
    <t>Intézmény saját bevétele</t>
  </si>
  <si>
    <t>Finanszírozás</t>
  </si>
  <si>
    <t>Önkormányzat állami támogatása</t>
  </si>
  <si>
    <t>Önkormányzati támogatás (saját forrás)</t>
  </si>
  <si>
    <t>Összes bevétel</t>
  </si>
  <si>
    <t>összeg        E Ft</t>
  </si>
  <si>
    <t>%-a</t>
  </si>
  <si>
    <t>összeg             E Ft</t>
  </si>
  <si>
    <t>összeg (Ft)</t>
  </si>
  <si>
    <t>összeg              E Ft</t>
  </si>
  <si>
    <t>összeg            E Ft</t>
  </si>
  <si>
    <t>%</t>
  </si>
  <si>
    <t>E Ft/fő</t>
  </si>
  <si>
    <t>Bartók B.utcai Óvoda</t>
  </si>
  <si>
    <t>Óvodák mindösszesen:</t>
  </si>
  <si>
    <t xml:space="preserve">Kőkúti Általános Iskola </t>
  </si>
  <si>
    <t>Kőkúti Ált.Isk.Fazekas utcai tagintézménye</t>
  </si>
  <si>
    <t>Vaszary J. Általános Iskola és Logopédiai Intézet</t>
  </si>
  <si>
    <t>Vaszary J. Ált.Isk.Jázmin utcai tagintézmémye</t>
  </si>
  <si>
    <t>Vaszary J.Ált.Isk. Fekete Lajos tagintézménye</t>
  </si>
  <si>
    <t>Menner Bernát Zeneiskola</t>
  </si>
  <si>
    <t>Iskolák mindösszesen:</t>
  </si>
  <si>
    <t>Szociális Alapellátó Intézmény:</t>
  </si>
  <si>
    <r>
      <t xml:space="preserve">1 főre jutó </t>
    </r>
    <r>
      <rPr>
        <b/>
        <u val="single"/>
        <sz val="10"/>
        <rFont val="Times New Roman"/>
        <family val="1"/>
      </rPr>
      <t>állami</t>
    </r>
    <r>
      <rPr>
        <b/>
        <sz val="10"/>
        <rFont val="Times New Roman"/>
        <family val="1"/>
      </rPr>
      <t xml:space="preserve"> támogatás</t>
    </r>
  </si>
  <si>
    <r>
      <t>1 főre jutó</t>
    </r>
    <r>
      <rPr>
        <b/>
        <u val="single"/>
        <sz val="10"/>
        <rFont val="Times New Roman"/>
        <family val="1"/>
      </rPr>
      <t xml:space="preserve"> önk</t>
    </r>
    <r>
      <rPr>
        <b/>
        <sz val="10"/>
        <rFont val="Times New Roman"/>
        <family val="1"/>
      </rPr>
      <t>. támogatás</t>
    </r>
  </si>
  <si>
    <t>2012. évi záró állomány (értékelés után)</t>
  </si>
  <si>
    <t>2013. évi törlesztő részlet</t>
  </si>
  <si>
    <t>Előző évi pénzmaradvány átadás (technikai)</t>
  </si>
  <si>
    <t>Pénzmaradvány átadás (technikai)</t>
  </si>
  <si>
    <t>Kötvény után fizetendő kamat (57.068 E Ft összeg része)</t>
  </si>
  <si>
    <t>Megbízási szerződés szerint fizetendő díj (Budapest Priv-Invest Kft-nek)</t>
  </si>
  <si>
    <t>Beruházási hitel és kötvény törlesztés</t>
  </si>
  <si>
    <t>Beruházási feladatok:</t>
  </si>
  <si>
    <t>„Tata,Kossuth tér városközpont értékmegőrző rehabilitációja pályázat önereje 295/2012.(VII.27.)hat.</t>
  </si>
  <si>
    <t xml:space="preserve">A „tatai Réti 8-as sz. halastó természetes vízi élőhely rehabilitációja pályázat önereje 296/2012.(VII.27.) </t>
  </si>
  <si>
    <t>Tata,Frankel Leo utcában a 2145/17.hrsz-ú 155 m2 nagyságú ingatlan megvásárlásához 299/2012.(VII.27)</t>
  </si>
  <si>
    <t>Gondoskodó Kistérség KDOP-5.2.2/A-09-2009-0006</t>
  </si>
  <si>
    <t>Tatai 648/2 hrsz.-ú ingatlanon található épület önkormányzati tulajdonbavétele 356/2012.(XI.27.)PVB hat.</t>
  </si>
  <si>
    <t>4. Pannon Gastroland Zrt. jogutód nélküli megszűnése miatt</t>
  </si>
  <si>
    <t>Hosszú lejáratú, devizában fennálló kötelezettségek évenkénti törlesztő részletei összesen: (svájci frank)</t>
  </si>
  <si>
    <t>Lakásértékesítés (Tata, Bajcsy Zs. u. 22. , Tata, Sport u. 34.)</t>
  </si>
  <si>
    <t>Felhalmozási célú pénzeszközátadás</t>
  </si>
  <si>
    <t>Tatai Tv közalapítványnak a MA-KMUSZ 2012-0015/2012 pályázati önerő biztosítása 333/2012.(IX.22). Tata Kt határozat</t>
  </si>
  <si>
    <t>Eötvös József Gimnáziumba védőszőnyeg 437/2012. (XI.29.) Tata Kt. határozat</t>
  </si>
  <si>
    <t>Felhasználás összege a 2012. évi költségvetésben:</t>
  </si>
  <si>
    <t>Kötvényforrás tartaléka:</t>
  </si>
  <si>
    <t>Árfolyamkülönbözet</t>
  </si>
  <si>
    <t>Pénzügyi szolgáltatás, számlavezetési díj</t>
  </si>
  <si>
    <t>Devizahitel kamat törlesztés</t>
  </si>
  <si>
    <t>Tata Város Önkormányzatának</t>
  </si>
  <si>
    <t>támogatásértékű bevételei és államháztartáson kívülről átvett pénzeszközeinek</t>
  </si>
  <si>
    <t>2012. évi alakulása (E Ft-ban)</t>
  </si>
  <si>
    <t>Mód. (V.30.)</t>
  </si>
  <si>
    <t>Munkaügyi Központtól közfoglalkoztatásra</t>
  </si>
  <si>
    <t>Jelzőrendszeres házi segítségnyújtás</t>
  </si>
  <si>
    <t>Támogatószolgáltatás</t>
  </si>
  <si>
    <t>Közösségi ellátás</t>
  </si>
  <si>
    <t>Mozgáskorlátozottak közlekedési támogatása</t>
  </si>
  <si>
    <t>Tardos Önkormányzattól általános iskola működésére</t>
  </si>
  <si>
    <t>Rendszeres gyermekvédelmi támogatás</t>
  </si>
  <si>
    <t>Otthonteremtési támogatás</t>
  </si>
  <si>
    <t>Országos Egészségügyi Pénztártól nemzetközi egyezmény alapján</t>
  </si>
  <si>
    <t>Országos Egészségügyi Pénztártól</t>
  </si>
  <si>
    <t>Árpád-házi Szent Erzsébet Szakkórház és Rendelőintézettől</t>
  </si>
  <si>
    <t>"Első munkahely garancia" munkaerő-piaci program keretében 6 pályakezdő foglalkoztatására</t>
  </si>
  <si>
    <t>Ifjúsági feladatokra pályázati támogatás</t>
  </si>
  <si>
    <t>Összesen:</t>
  </si>
  <si>
    <t>Támogatás értékű felhalmozási célú bevételek</t>
  </si>
  <si>
    <t>Intézmények energiaracionalizálása KEOP-5.1.0-2008-0037</t>
  </si>
  <si>
    <t>Új u.-i Bölcsőde bővítése projekt KDOP-5.2.2/B-09-2009-0004</t>
  </si>
  <si>
    <t>Angolpark rehabilitációja KDOP-2.1.1/B-2f-2009-0002</t>
  </si>
  <si>
    <t>Tatabánya-Vértesszőlős-Tata településeket összekötő közlekedési célú kerékpárút építése az Általér mentén KÖZOP–3.2.0/c-08-2010-0003</t>
  </si>
  <si>
    <t>Öreg-tavi Ökoturisztikai Központ kialakítása a csatlakozó kerékpárutak felújításával Tatán és a tematikus aktív turisztikai fejlesztések a kistérségben KDOP–2.1.1/B–09-2010-0002</t>
  </si>
  <si>
    <t>TIOP-1.1.1-07/1-2008-12525 Informatikia infrastuktúra fejlesztés</t>
  </si>
  <si>
    <t xml:space="preserve">Önkormányzati intézményekbe Napelemes rendszer telepítése KEOP – 4.2.0/A </t>
  </si>
  <si>
    <t>Természetes vizes élőhely kialakítása a tatai Réti 8-as tó  rehabilitációjával KEOP–7.3.1.2/09-11-2011-0023</t>
  </si>
  <si>
    <t>Működési célra átvett pénzeszközök államháztartáson kívülről</t>
  </si>
  <si>
    <t>HU-SK 0901/1.7.1/0074 Testvérvárosi pályázat</t>
  </si>
  <si>
    <t>Talentum Angol-Magyar Két Tanítási Nyelvű Általános Iskola, Gimnázium és Művészeti Szakiskolától a fűtésmegtakarításból származó összeg átadása</t>
  </si>
  <si>
    <t>285/2012.(VI.28.)Tata Kt.hat. 2012.évi városi kitüntestéshez járó pénzjutalom</t>
  </si>
  <si>
    <t>Felhalmozási célra átvett pénzeszközök államháztartáson kívülről</t>
  </si>
  <si>
    <t>Befejezett viziközmű társulatoktól átvett</t>
  </si>
  <si>
    <t>EGYSZERŰSÍTETT PÉNZMARADVÁNY-KIMUTATÁS ELŐÍRT TAGOLÁSA</t>
  </si>
  <si>
    <t>Előző évi  beszámoló záró adatai</t>
  </si>
  <si>
    <t>Auditálási eltérések      (+-)</t>
  </si>
  <si>
    <t>Tavalyi aud.  Egyszerűsített beszámoló záró adatai</t>
  </si>
  <si>
    <t>Tárgyévi kv. Beszámoló</t>
  </si>
  <si>
    <t>Auditálási eltérések        (+-)</t>
  </si>
  <si>
    <t>Tárgyévi aud. egyszerűsített beszámoló záró adatai</t>
  </si>
  <si>
    <t>1.</t>
  </si>
  <si>
    <t>2.</t>
  </si>
  <si>
    <t>Forgatási célú pénzügyi műveletek egyenlege</t>
  </si>
  <si>
    <t>3.</t>
  </si>
  <si>
    <t>Egyéb aktív és passzív pénzügyi elszámolások összevont záróegyenlege (+-)</t>
  </si>
  <si>
    <t>4.</t>
  </si>
  <si>
    <t>Előző év(ek)ben képzett tartalékok maradványa (-)</t>
  </si>
  <si>
    <t>5.</t>
  </si>
  <si>
    <t>Vállalkozási tevékenység pénzforgalmi eredménye (-)</t>
  </si>
  <si>
    <t>6.</t>
  </si>
  <si>
    <t>Tárgyévi helyesbített pénzmaradvány (1+-2+-3-4-5)</t>
  </si>
  <si>
    <t>7.</t>
  </si>
  <si>
    <t>Finanszírozásból származó korrekciók (+-)</t>
  </si>
  <si>
    <t>8.</t>
  </si>
  <si>
    <t>Pénzmaradványt terhelő elvonások (+-)</t>
  </si>
  <si>
    <t>9.</t>
  </si>
  <si>
    <t>Költségvetési pénzmaradvány (6+7+8)</t>
  </si>
  <si>
    <t>10.</t>
  </si>
  <si>
    <t>Vállalkozási maradványból alaptev. ellát-ra felhaszn. összeg</t>
  </si>
  <si>
    <t>11.</t>
  </si>
  <si>
    <t>Költségvetési pénzmaradványt külön jogszabály alapján mód. tétel (+,-)</t>
  </si>
  <si>
    <t>12.</t>
  </si>
  <si>
    <t>Módosított pénzmaradvány (6+-7+-8+-9+-10)</t>
  </si>
  <si>
    <t>13.</t>
  </si>
  <si>
    <t>A 12-ből az Egészségbiztosítási alapból folyósított pénzmaradvány</t>
  </si>
  <si>
    <t>14.</t>
  </si>
  <si>
    <t>12-ből kötelezettségvállalással terhelt pénzmaradvány</t>
  </si>
  <si>
    <t>15.</t>
  </si>
  <si>
    <t>12-ből szabad pénzmaradvány</t>
  </si>
  <si>
    <t>Magnum Kft-től Városfejlesztési megállapodás alapján</t>
  </si>
  <si>
    <t>Út- és közműfejlesztési hozzájárulás</t>
  </si>
  <si>
    <t>Mindösszesen:</t>
  </si>
  <si>
    <t>Tata Város Önkormányzat</t>
  </si>
  <si>
    <t>tartalékolt felhalmozási kiadásokhoz kapcsolódó támogatásértékű bevételeinek</t>
  </si>
  <si>
    <t>Deák F. u. szélesítése KDOP-4.2.1/B-2011</t>
  </si>
  <si>
    <t>Kossuth tér városközpont értékmegőrző rehabilitációja KDOP–3.1.1/A–09-1f-2010-0001</t>
  </si>
  <si>
    <t xml:space="preserve">Baji út és a kertváros kerékpáros forgalmának komplex rendezése </t>
  </si>
  <si>
    <t>Intermodális közösségi közlekedési központ létrehozása Tatán KÖZOP–5.5.0-09-11-2011-0010</t>
  </si>
  <si>
    <t xml:space="preserve">Települési vízrendezés fejlesztése Tatán, a József A. utcában KDOP – 4.1.1/E-2011. </t>
  </si>
  <si>
    <t>Víz, hulladék és megújuló energia rendszerek és technológiák fejlesztése, Újhegyi vízfolyás HUSK/1101/2.1.1</t>
  </si>
  <si>
    <t>Kőfaragó-ház fejlsztési projekt Turisztikai vonzerők felújítása, közös termékek és kapcsolódó desztináció-menedzsment szervek fejlesztése, infrastruktúra felállítása HUSK/1101/1.3.1</t>
  </si>
  <si>
    <t>Önkormányzatok sajátos működési bevételei, közhatalmi bevételei</t>
  </si>
  <si>
    <t>Megújuló energia projekt, helyszín: Kőkúti Általános Iskola HUSK/1101/2.1.1</t>
  </si>
  <si>
    <t>Önkormányzati Hivatalának</t>
  </si>
  <si>
    <t>Tatai Kistérségi Többcélú Társulástól</t>
  </si>
  <si>
    <t>HUSK 0901/1.7.14/0074 Testvérvárosi pályázat</t>
  </si>
  <si>
    <t>Wekerle S. Alapkezelő Bursa ösztöndíj visszautalása</t>
  </si>
  <si>
    <t>Pénzeszközátadások, támogatások 2012. évi előirányzata (E Ft-ban)</t>
  </si>
  <si>
    <t>Működési célú pénzeszközátadások és támogatások az Önkormányzatnál:</t>
  </si>
  <si>
    <t>Tatai Városgazda Nonprofit Kft.-nek bérre és működésre</t>
  </si>
  <si>
    <t>Tatai Városgazda Nonprofit Kft.-nek a Kuny Domokos Múzeum zöldfelületeinek gondozása</t>
  </si>
  <si>
    <t>Tatai Városkapu Nonprofit Zrt. támogatása közhasznú megállapodás és egyéb megállapodás alapján</t>
  </si>
  <si>
    <t>Tatai Városkapu Zrt. vezérigazgatójának 2012. évi prémiumfeladataira</t>
  </si>
  <si>
    <t>Tatai Televízió Közalapítvány támogatása</t>
  </si>
  <si>
    <t>Árpád-házi Szent Erzsébet Szakkórház és Rendelőintézet bérkompenzáció címén támogatás</t>
  </si>
  <si>
    <t>TAC-nak pénzeszközátadás 1421/3 hrsz-ú ingatlan vásárlás miatt</t>
  </si>
  <si>
    <t>TDM szervezet működtetésére 270/2009. (VIII.12.)</t>
  </si>
  <si>
    <t>Juniorka alapítványi Óvoda támogatása a közoktatási megállapodás alapján</t>
  </si>
  <si>
    <t>Juniorka alapítványi Bölcsőde támogatása a közoktatási megállapodás alapján</t>
  </si>
  <si>
    <t>Bursa Hungarica és Mecénás Közalapítvány támogatása 444/2011. (IX.29.) Tata Kt. határozat</t>
  </si>
  <si>
    <t>Kenderke Néptánc Egyesület</t>
  </si>
  <si>
    <t>Concerto Nonprofit Kft.alapfokú művészetoktatási támogatása</t>
  </si>
  <si>
    <t>Oktatási és kulturális alap</t>
  </si>
  <si>
    <t>Szociális, Egészségvédelmi  és Sportalap</t>
  </si>
  <si>
    <t>Környezetvédelmi alap</t>
  </si>
  <si>
    <t>Kőkúti Sasok Diáksport Egyesület támogatása</t>
  </si>
  <si>
    <t>Magyar Máltai Szeretetszolgálat Tatai Csoportjának</t>
  </si>
  <si>
    <t>Magyar Vöröskereszt Tatai Szervezetének</t>
  </si>
  <si>
    <t>Háziorvosok támogatása</t>
  </si>
  <si>
    <t>5. sz. fogászati alapellátási körzet helyettesítésére</t>
  </si>
  <si>
    <t>HU-SK 09/01 projekt támogatás visszafizetés</t>
  </si>
  <si>
    <t>Kis- és középvállalkozások támogatása</t>
  </si>
  <si>
    <t>TAC áthúzódó támogatása 309/2011 (VI.29.) 511/2011 (XI.16.) 222/2012. (V.31.) 265/2012. (VI.28.) Tata Kt. határozatok</t>
  </si>
  <si>
    <t>Polgárőrségnek</t>
  </si>
  <si>
    <t>Hódy Sport Egyesületnek</t>
  </si>
  <si>
    <t>Vívó SE</t>
  </si>
  <si>
    <t>Tatai Sport Egyesületnek</t>
  </si>
  <si>
    <t>Közép-Duna Vidéke Hulladékgazdálkodási Önkormányzati Társulás tagdíja</t>
  </si>
  <si>
    <t>Hajnalcsillag Református Óvoda támogatása (jubileumi jutalmakra)</t>
  </si>
  <si>
    <t>Bliss Alapítvány támogatása</t>
  </si>
  <si>
    <t>Csángó Kulturális Egyesületnek, kötelezettségvállalással terhelt, 2011. évi támogatás</t>
  </si>
  <si>
    <t>Rendőrségnek</t>
  </si>
  <si>
    <t>Bérlet 2012. évi támogatása Ifjúsági Tata kártyával rendelkező 180 fő nappali tagozatos tanulónak</t>
  </si>
  <si>
    <t>Városi Nyugdíjasklub támogatása</t>
  </si>
  <si>
    <t>Agostyáni Kulturális Egyesület támogatása</t>
  </si>
  <si>
    <t>Mozgáskorlátozottak Egyesületének Sorstársak Klub működéséhez</t>
  </si>
  <si>
    <t>KEM Sportszövetség internetes kiadvány működéséhez</t>
  </si>
  <si>
    <t>Lengyel Nemzetiségi Önkormányzatnak</t>
  </si>
  <si>
    <t>Pusztinai Házért Egyesületnek</t>
  </si>
  <si>
    <t>Tata Tóvárosi Sportegyesület - Tatai Regatta megrendezéséhez</t>
  </si>
  <si>
    <t>Magyar Vöröskeresztnek</t>
  </si>
  <si>
    <t>TAC-nak Hernádi László versenyzéséhez</t>
  </si>
  <si>
    <t>Magyar Zsidó Hitközségnek - temető kerítésének javítása</t>
  </si>
  <si>
    <t>Történelmi Igazságtételi Bizottságnak a 2012. évi ünnepségeken való részvétel költségeire</t>
  </si>
  <si>
    <t>Eötvös J. Gimnáziumnak a Mezei futó Világbajnokságon való részvételre</t>
  </si>
  <si>
    <t>KEM Kézilabda Szövetségnek a kézilabda utánpótlás találkozó költségeire</t>
  </si>
  <si>
    <t>Szakmai Képzésért Közalapítványnak</t>
  </si>
  <si>
    <t>Csevergő Énekegyüttes kitüntetése</t>
  </si>
  <si>
    <t>Tatai Kistérségi Többcélú Társulásnak fogászati ügyelet ellátására</t>
  </si>
  <si>
    <t>Praxis Bt. részére</t>
  </si>
  <si>
    <t>Szabadságmegváltásra</t>
  </si>
  <si>
    <t>Háziorvosi feladatokra</t>
  </si>
  <si>
    <t>Vakok világnapjának ünnepi műsorának támogatása</t>
  </si>
  <si>
    <t>Magyary Zoltán Népfőiskolai Társaságnak a 2012. évi szakmai programokra</t>
  </si>
  <si>
    <t>Szőgyénnek a 2013/2013-as tanévre alapiskolai tanulmányokra</t>
  </si>
  <si>
    <t>Felhalmozási célú pénzeszközátadások és támogatások az Önkormányzatnál:</t>
  </si>
  <si>
    <t>Vissza nem térítendő kamatmentes támogatás</t>
  </si>
  <si>
    <t>Értékvédelmi alap ÖR 19/2011 (V.30.)</t>
  </si>
  <si>
    <t>Eötvös J. Gimnázium dísztermének felújításához 197/2012. (V.31.) Tata Kt. határozata</t>
  </si>
  <si>
    <t>TAC támogatás 221/2012. (V.31.) Tata Kt. határozata</t>
  </si>
  <si>
    <t>Tatai Kistérségi Többcélú Társulásnak a Fényes fasori Idősek Otthona bővítéséhez</t>
  </si>
  <si>
    <t>Panel Programra 231/2008 (VIII.28.), 346/2009 (IX.30.), 498/2009 (XII.22.)</t>
  </si>
  <si>
    <t>ZBR pályázatra</t>
  </si>
  <si>
    <t>Közlekedésbiztonsági pályázat – tervezések önrész útpénztárnak</t>
  </si>
  <si>
    <t>Közlekedésbiztonsági pályázat – kisköltségű beavatkozás kivitelezés, önrész útpénztárnak</t>
  </si>
  <si>
    <t>Vértes Volán Zrt. részére szerződés alapján   (353/2010.(XI.24.) határozat</t>
  </si>
  <si>
    <t>Agostyáni templom felújítására</t>
  </si>
  <si>
    <t>Lakossági közműfejlesztés</t>
  </si>
  <si>
    <t>Vértes Volán Zrt.-nek helyi közforgalmi közlekedés támogatása</t>
  </si>
  <si>
    <t>Tatai Televízió Közalapítványnak a MA-KMUSZ 2012-0015/2012 pályázat önerejére</t>
  </si>
  <si>
    <t>Tata és Környéke Turisztikai Egyesületnek a KDOP-2.2.1/A-12 pályázat költségeire</t>
  </si>
  <si>
    <t>Május 1. u. 5 Társasháznak a lakásonkénti hőfogyasztás szabályozására</t>
  </si>
  <si>
    <t>Eötvös Gimnázium és Kollégium részére védőszőnyeg</t>
  </si>
  <si>
    <t>Öko programra 230/2008 (VIII.28.), 346/2009 (IX.30.), 109/2010 (XII.15.)</t>
  </si>
  <si>
    <t>NEP pályázatra 14/2008 (III.28.)</t>
  </si>
  <si>
    <t>Városkapu Zrt. Kossuth tér városközpont értékmegőrző rehabilitációja című pályázat konzorciumi partneri önereje</t>
  </si>
  <si>
    <t>Pénzeszközátadások, támogatások 2012. évi tartalékolt előirányzata (E Ft-ban)</t>
  </si>
  <si>
    <t>Önkormányzati költségvetési szervek engedélyezett létszáma</t>
  </si>
  <si>
    <t>Költségvetési szervek megnevezése</t>
  </si>
  <si>
    <t>Engedélyezett álláshelyekszám (fő)</t>
  </si>
  <si>
    <t>Bartók B. úti Óvoda</t>
  </si>
  <si>
    <t>Csillagsziget Bölcsőde</t>
  </si>
  <si>
    <t>Fazekas u. Tagintézmény</t>
  </si>
  <si>
    <t>Vaszary János Általános Iskola</t>
  </si>
  <si>
    <t>Vaszary János Általános Iskola - Jázmin tagintézmény</t>
  </si>
  <si>
    <t>Vaszary János Általános Iskola - Tardos tagintézmény</t>
  </si>
  <si>
    <t>Menner B. Zeneiskola</t>
  </si>
  <si>
    <t>Móricz Zsigmond Könyvtár</t>
  </si>
  <si>
    <t xml:space="preserve">Intézmények Gazdasági Hivatala </t>
  </si>
  <si>
    <t>Intézmények Gazdasági Hivatala összesen</t>
  </si>
  <si>
    <t xml:space="preserve">   Normatív állami hozzájárulás és a normatív részesedésű átengedett SZJA jogcímei és összegei 2012. évi tervezett és tényleges adatai TATA VÁROS ÖNKORMÁNYZATA</t>
  </si>
  <si>
    <t>Jogcímek megnevezése</t>
  </si>
  <si>
    <t>2012. ÉVI IGÉNYLÉS ÉVKÖZI MÓDOSÍTÁSOKKAL</t>
  </si>
  <si>
    <t>2012. ÉVI TÉNYLEGES</t>
  </si>
  <si>
    <t>Tényleges - Tervezett</t>
  </si>
  <si>
    <t>Mutató</t>
  </si>
  <si>
    <t>Ft/mutató</t>
  </si>
  <si>
    <t>Összeg (Ft)</t>
  </si>
  <si>
    <t>Különbözet (Ft)</t>
  </si>
  <si>
    <t>Különbözet        E Ft</t>
  </si>
  <si>
    <t>Normatív támogatások</t>
  </si>
  <si>
    <t>Települési önkormányzatok üzemeltetési, igazgatási, sport- és kulturális feladatai</t>
  </si>
  <si>
    <t>Lakott külterülettel kapcsolatos feladatok</t>
  </si>
  <si>
    <t>Okmányirodák működése és gyámügyi igazgatási feladatok</t>
  </si>
  <si>
    <t xml:space="preserve">  - alap-hozzájárulás</t>
  </si>
  <si>
    <t xml:space="preserve">  - okmányirodák működése</t>
  </si>
  <si>
    <t xml:space="preserve">  - gyámügyi igazgatási feladatok</t>
  </si>
  <si>
    <t>Építésügyi igazgatási feladatok</t>
  </si>
  <si>
    <t xml:space="preserve">  - térségi normatív hozzájárulás</t>
  </si>
  <si>
    <t xml:space="preserve">  - kiegészítő hozzájárulás építésügyi igazgatási feladatokhoz</t>
  </si>
  <si>
    <t>Üdülőhelyi feladatok</t>
  </si>
  <si>
    <t>Egyéb támogatások összesen</t>
  </si>
  <si>
    <t>Pénzbeli szociális juttatások</t>
  </si>
  <si>
    <t>2000-29000</t>
  </si>
  <si>
    <t>Szoc. és gyermekjóléti alapsz. ált. fel.</t>
  </si>
  <si>
    <t xml:space="preserve">  - családsegítés</t>
  </si>
  <si>
    <t xml:space="preserve">  - gyermekjóléti szolgáltatás</t>
  </si>
  <si>
    <t>Szociális étkeztetés</t>
  </si>
  <si>
    <t>Házi segítségnyújtás</t>
  </si>
  <si>
    <t>Időskorúak nappali ellátása (Petőfi u, Deák F.u.)</t>
  </si>
  <si>
    <t>Fogyatékos és demens személyek nappali intézményi ellátása (ÉNO)</t>
  </si>
  <si>
    <t>Hajléktalanok nappali intézményi ellátása</t>
  </si>
  <si>
    <t>Hajléktalanok átmeneti szállása, éjjeli menedékhely</t>
  </si>
  <si>
    <t>Bölcsödei ellátás</t>
  </si>
  <si>
    <t>Szociális normatív támogatások összesen</t>
  </si>
  <si>
    <t xml:space="preserve">Óvodai nevelés teljesítménymutató alapján </t>
  </si>
  <si>
    <t xml:space="preserve">  - 2012. évben időarányosan 8 hónapra (Mutató itt létszám, nem teljes. mutató)</t>
  </si>
  <si>
    <t xml:space="preserve">  - 2012. évben időarányosan 4 hónapra (Mutató itt létszám, nem teljes. mutató)</t>
  </si>
  <si>
    <t>Ált.isk.oktatás teljesítménymutató alapján  I-IV. (Mutató = létszám) 8 hónapra</t>
  </si>
  <si>
    <t>Ált.isk.oktatás teljesítménymutató alapján V-VIII. (Mutató = létszám) 8 hónapra</t>
  </si>
  <si>
    <t>Ált.isk.oktatás teljesítménymutató alapján  I-IV. (Mutató = létszám) 4 hónapra</t>
  </si>
  <si>
    <t>Ált.isk.oktatás teljesítménymutató alapján V-VIII. (Mutató = létszám) 4 hónapra</t>
  </si>
  <si>
    <t>Magántanuló orvosi igazolás alapján 8 hónapra</t>
  </si>
  <si>
    <t>Magántanuló orvosi igazolás alapján 4 hónapra</t>
  </si>
  <si>
    <t>Testi, érzékszervi, középsúlyos értelmi fogyatékos gyermekek 8 hónapra</t>
  </si>
  <si>
    <t>Testi, érzékszervi, középsúlyos értelmi fogyatékos gyermekek 4 hónapra</t>
  </si>
  <si>
    <t>Beszédfogyatékos, enyhe értelmi fogyatékos gyermekek 8 hóra</t>
  </si>
  <si>
    <t>Beszédfogyatékos, enyhe értelmi fogyatékos gyermekek 4 hóra</t>
  </si>
  <si>
    <t>Megismerő funkciók vagy viselkedés fejlődésének tartós rendellenessége miatt 8 hónapra</t>
  </si>
  <si>
    <t>Megismerő funkciók vagy viselkedés fejlődésének tartós rendellenessége miatt 4 hónapra</t>
  </si>
  <si>
    <t>Alapfokú művészetoktatás, zeneművészeti ág 8 hónapra</t>
  </si>
  <si>
    <t>Alapfokú művészetoktatá, zeneművészeti ág  4 hónapra</t>
  </si>
  <si>
    <t>Alapfokú művészetoktatás képzőművészeti ág 8 hónapra</t>
  </si>
  <si>
    <t>Alapfokú művészetoktatás képzőművészeti ág  4 hónapra</t>
  </si>
  <si>
    <t>Szervezett kedvezményes étkeztetés iskolában</t>
  </si>
  <si>
    <t>Általános iskolai napközis foglalkoztatás 1-4. évfolyam 8 hónapra</t>
  </si>
  <si>
    <t>Általános iskolai napközis foglalkoztatás 5-8. évfolyam 8 hónapra</t>
  </si>
  <si>
    <t>Általános iskolai napközis foglalkoztatás 1-4. évfolyam 4 hónapra</t>
  </si>
  <si>
    <t>Általános iskolai napközis foglalkoztatás 5-8. évfolyam 4 hónapra</t>
  </si>
  <si>
    <t>Nemzetiségi nyelvű, két tanítási nyelvű oktatás, nyelvi előkészítő oktatás 8 hóra</t>
  </si>
  <si>
    <t>Nemzetiségi nyelvű, két tanítási nyelvű oktatás, nyelvi előkészítő oktatás 4 hóra</t>
  </si>
  <si>
    <t>Közoktatási normatíva összesen</t>
  </si>
  <si>
    <t>Normatív támogatások összesen</t>
  </si>
  <si>
    <t>Pedagógiai szakszolgálat (Vaszary) 8 hónapra</t>
  </si>
</sst>
</file>

<file path=xl/styles.xml><?xml version="1.0" encoding="utf-8"?>
<styleSheet xmlns="http://schemas.openxmlformats.org/spreadsheetml/2006/main">
  <numFmts count="4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  <numFmt numFmtId="175" formatCode="#,##0,"/>
    <numFmt numFmtId="176" formatCode="#,##0;[Red]\-#,##0"/>
    <numFmt numFmtId="177" formatCode="0.0%"/>
    <numFmt numFmtId="178" formatCode="[$-40E]yyyy\.\ mmmm\ d\."/>
    <numFmt numFmtId="179" formatCode="[$-40E]yyyy/\ mmm/\ d\.;@"/>
    <numFmt numFmtId="180" formatCode="[$-F800]dddd\,\ mmmm\ dd\,\ yyyy"/>
    <numFmt numFmtId="181" formatCode="#,##0.0000000"/>
    <numFmt numFmtId="182" formatCode="#,##0.000000"/>
    <numFmt numFmtId="183" formatCode="#,##0;\-#,##0"/>
    <numFmt numFmtId="184" formatCode="dddd&quot;, &quot;mmmm\ dd&quot;, &quot;yyyy"/>
    <numFmt numFmtId="185" formatCode="_-* #,##0.00\ _F_t_-;\-* #,##0.00\ _F_t_-;_-* \-??\ _F_t_-;_-@_-"/>
    <numFmt numFmtId="186" formatCode="&quot;H-&quot;0000"/>
    <numFmt numFmtId="187" formatCode="#,##0.00\ [$EUR]"/>
    <numFmt numFmtId="188" formatCode="#,##0&quot; Ft&quot;"/>
    <numFmt numFmtId="189" formatCode="yyyy\-mm\-dd"/>
    <numFmt numFmtId="190" formatCode="_-* #,##0.0\ _F_t_-;\-* #,##0.0\ _F_t_-;_-* &quot;-&quot;??\ _F_t_-;_-@_-"/>
    <numFmt numFmtId="191" formatCode="_-* #,##0.000\ _F_t_-;\-* #,##0.000\ _F_t_-;_-* &quot;-&quot;??\ _F_t_-;_-@_-"/>
    <numFmt numFmtId="192" formatCode="_-* #,##0\ _F_t_-;\-* #,##0\ _F_t_-;_-* &quot;-&quot;??\ _F_t_-;_-@_-"/>
    <numFmt numFmtId="193" formatCode="#,##0_ ;[Red]\-#,##0\ "/>
    <numFmt numFmtId="194" formatCode="0.0000"/>
    <numFmt numFmtId="195" formatCode="0.00000"/>
    <numFmt numFmtId="196" formatCode="0.0000000"/>
    <numFmt numFmtId="197" formatCode="0.000000"/>
    <numFmt numFmtId="198" formatCode="0.00000000"/>
    <numFmt numFmtId="199" formatCode="0.000000000"/>
    <numFmt numFmtId="200" formatCode="yyyy/\ mmm/\ d\."/>
    <numFmt numFmtId="201" formatCode="yyyy/\ mmmm\ d\."/>
  </numFmts>
  <fonts count="68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sz val="10"/>
      <name val="Times New Roman"/>
      <family val="1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Times New Roman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i/>
      <sz val="10"/>
      <name val="Arial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b/>
      <i/>
      <sz val="10"/>
      <name val="Arial CE"/>
      <family val="0"/>
    </font>
    <font>
      <sz val="10"/>
      <name val="Arial"/>
      <family val="0"/>
    </font>
    <font>
      <b/>
      <i/>
      <sz val="9"/>
      <name val="Times New Roman CE"/>
      <family val="0"/>
    </font>
    <font>
      <b/>
      <sz val="7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 CE"/>
      <family val="1"/>
    </font>
    <font>
      <b/>
      <sz val="12"/>
      <name val="Arial CE"/>
      <family val="0"/>
    </font>
    <font>
      <i/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9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i/>
      <sz val="12"/>
      <name val="Times New Roman CE"/>
      <family val="1"/>
    </font>
    <font>
      <b/>
      <sz val="14"/>
      <name val="Arial CE"/>
      <family val="0"/>
    </font>
    <font>
      <i/>
      <sz val="9"/>
      <name val="Times New Roman CE"/>
      <family val="0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name val="Arial"/>
      <family val="0"/>
    </font>
    <font>
      <sz val="10"/>
      <name val="MS Sans Serif"/>
      <family val="0"/>
    </font>
    <font>
      <i/>
      <sz val="11"/>
      <name val="Times New Roman CE"/>
      <family val="0"/>
    </font>
    <font>
      <b/>
      <u val="single"/>
      <sz val="11"/>
      <name val="Times New Roman CE"/>
      <family val="0"/>
    </font>
    <font>
      <b/>
      <i/>
      <sz val="12"/>
      <name val="Times New Roman"/>
      <family val="1"/>
    </font>
    <font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1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5" borderId="0" applyNumberFormat="0" applyBorder="0" applyAlignment="0" applyProtection="0"/>
    <xf numFmtId="0" fontId="27" fillId="14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1" borderId="0" applyNumberFormat="0" applyBorder="0" applyAlignment="0" applyProtection="0"/>
    <xf numFmtId="0" fontId="27" fillId="18" borderId="0" applyNumberFormat="0" applyBorder="0" applyAlignment="0" applyProtection="0"/>
    <xf numFmtId="0" fontId="27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33" borderId="0" applyNumberFormat="0" applyBorder="0" applyAlignment="0" applyProtection="0"/>
    <xf numFmtId="0" fontId="29" fillId="9" borderId="0" applyNumberFormat="0" applyBorder="0" applyAlignment="0" applyProtection="0"/>
    <xf numFmtId="0" fontId="37" fillId="7" borderId="1" applyNumberFormat="0" applyAlignment="0" applyProtection="0"/>
    <xf numFmtId="0" fontId="30" fillId="34" borderId="1" applyNumberFormat="0" applyAlignment="0" applyProtection="0"/>
    <xf numFmtId="0" fontId="31" fillId="35" borderId="2" applyNumberFormat="0" applyAlignment="0" applyProtection="0"/>
    <xf numFmtId="0" fontId="41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1" fillId="36" borderId="2" applyNumberFormat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3" fillId="10" borderId="0" applyNumberFormat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7" fillId="13" borderId="1" applyNumberFormat="0" applyAlignment="0" applyProtection="0"/>
    <xf numFmtId="0" fontId="0" fillId="37" borderId="10" applyNumberFormat="0" applyFont="0" applyAlignment="0" applyProtection="0"/>
    <xf numFmtId="0" fontId="28" fillId="38" borderId="0" applyNumberFormat="0" applyBorder="0" applyAlignment="0" applyProtection="0"/>
    <xf numFmtId="0" fontId="2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41" borderId="0" applyNumberFormat="0" applyBorder="0" applyAlignment="0" applyProtection="0"/>
    <xf numFmtId="0" fontId="33" fillId="4" borderId="0" applyNumberFormat="0" applyBorder="0" applyAlignment="0" applyProtection="0"/>
    <xf numFmtId="0" fontId="40" fillId="42" borderId="11" applyNumberFormat="0" applyAlignment="0" applyProtection="0"/>
    <xf numFmtId="0" fontId="38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4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3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44" borderId="10" applyNumberFormat="0" applyAlignment="0" applyProtection="0"/>
    <xf numFmtId="0" fontId="40" fillId="34" borderId="11" applyNumberFormat="0" applyAlignment="0" applyProtection="0"/>
    <xf numFmtId="0" fontId="42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9" fillId="45" borderId="0" applyNumberFormat="0" applyBorder="0" applyAlignment="0" applyProtection="0"/>
    <xf numFmtId="0" fontId="30" fillId="42" borderId="1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</cellStyleXfs>
  <cellXfs count="1651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0" xfId="0" applyFont="1" applyAlignment="1">
      <alignment/>
    </xf>
    <xf numFmtId="3" fontId="2" fillId="0" borderId="18" xfId="0" applyNumberFormat="1" applyFont="1" applyBorder="1" applyAlignment="1">
      <alignment wrapText="1"/>
    </xf>
    <xf numFmtId="3" fontId="2" fillId="0" borderId="19" xfId="0" applyNumberFormat="1" applyFont="1" applyBorder="1" applyAlignment="1">
      <alignment wrapText="1"/>
    </xf>
    <xf numFmtId="0" fontId="12" fillId="0" borderId="0" xfId="0" applyFont="1" applyAlignment="1">
      <alignment/>
    </xf>
    <xf numFmtId="0" fontId="11" fillId="0" borderId="0" xfId="0" applyFont="1" applyAlignment="1">
      <alignment horizontal="center"/>
    </xf>
    <xf numFmtId="3" fontId="2" fillId="0" borderId="14" xfId="0" applyNumberFormat="1" applyFont="1" applyBorder="1" applyAlignment="1">
      <alignment wrapText="1"/>
    </xf>
    <xf numFmtId="3" fontId="2" fillId="0" borderId="15" xfId="0" applyNumberFormat="1" applyFont="1" applyBorder="1" applyAlignment="1">
      <alignment wrapText="1"/>
    </xf>
    <xf numFmtId="3" fontId="1" fillId="0" borderId="19" xfId="0" applyNumberFormat="1" applyFont="1" applyBorder="1" applyAlignment="1">
      <alignment wrapText="1"/>
    </xf>
    <xf numFmtId="3" fontId="1" fillId="0" borderId="18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1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0" xfId="0" applyNumberFormat="1" applyFont="1" applyBorder="1" applyAlignment="1">
      <alignment wrapText="1"/>
    </xf>
    <xf numFmtId="0" fontId="18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16" fillId="0" borderId="19" xfId="0" applyFont="1" applyBorder="1" applyAlignment="1">
      <alignment/>
    </xf>
    <xf numFmtId="0" fontId="2" fillId="0" borderId="0" xfId="0" applyFont="1" applyAlignment="1">
      <alignment/>
    </xf>
    <xf numFmtId="3" fontId="1" fillId="0" borderId="19" xfId="0" applyNumberFormat="1" applyFont="1" applyBorder="1" applyAlignment="1">
      <alignment/>
    </xf>
    <xf numFmtId="0" fontId="1" fillId="0" borderId="0" xfId="0" applyFont="1" applyAlignment="1">
      <alignment/>
    </xf>
    <xf numFmtId="3" fontId="16" fillId="0" borderId="19" xfId="0" applyNumberFormat="1" applyFont="1" applyBorder="1" applyAlignment="1">
      <alignment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" fillId="0" borderId="19" xfId="0" applyFont="1" applyBorder="1" applyAlignment="1">
      <alignment horizontal="left"/>
    </xf>
    <xf numFmtId="49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center"/>
    </xf>
    <xf numFmtId="0" fontId="13" fillId="0" borderId="0" xfId="0" applyFont="1" applyAlignment="1">
      <alignment/>
    </xf>
    <xf numFmtId="3" fontId="1" fillId="0" borderId="19" xfId="0" applyNumberFormat="1" applyFont="1" applyBorder="1" applyAlignment="1">
      <alignment horizontal="right" vertical="center" wrapText="1"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2" fillId="0" borderId="19" xfId="0" applyFont="1" applyBorder="1" applyAlignment="1">
      <alignment/>
    </xf>
    <xf numFmtId="0" fontId="1" fillId="0" borderId="19" xfId="0" applyFont="1" applyBorder="1" applyAlignment="1">
      <alignment wrapText="1"/>
    </xf>
    <xf numFmtId="49" fontId="1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left" wrapText="1"/>
    </xf>
    <xf numFmtId="0" fontId="16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/>
    </xf>
    <xf numFmtId="3" fontId="16" fillId="0" borderId="19" xfId="0" applyNumberFormat="1" applyFont="1" applyBorder="1" applyAlignment="1">
      <alignment horizontal="right" vertical="center" wrapText="1"/>
    </xf>
    <xf numFmtId="3" fontId="16" fillId="0" borderId="19" xfId="0" applyNumberFormat="1" applyFont="1" applyBorder="1" applyAlignment="1">
      <alignment/>
    </xf>
    <xf numFmtId="3" fontId="16" fillId="0" borderId="19" xfId="0" applyNumberFormat="1" applyFont="1" applyBorder="1" applyAlignment="1">
      <alignment wrapText="1"/>
    </xf>
    <xf numFmtId="3" fontId="16" fillId="0" borderId="18" xfId="0" applyNumberFormat="1" applyFont="1" applyBorder="1" applyAlignment="1">
      <alignment wrapText="1"/>
    </xf>
    <xf numFmtId="3" fontId="1" fillId="0" borderId="19" xfId="0" applyNumberFormat="1" applyFont="1" applyBorder="1" applyAlignment="1">
      <alignment wrapText="1"/>
    </xf>
    <xf numFmtId="3" fontId="1" fillId="0" borderId="18" xfId="0" applyNumberFormat="1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2" fillId="0" borderId="19" xfId="0" applyNumberFormat="1" applyFont="1" applyBorder="1" applyAlignment="1">
      <alignment wrapText="1"/>
    </xf>
    <xf numFmtId="3" fontId="2" fillId="0" borderId="18" xfId="0" applyNumberFormat="1" applyFont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7" fillId="0" borderId="0" xfId="0" applyFont="1" applyBorder="1" applyAlignment="1">
      <alignment/>
    </xf>
    <xf numFmtId="3" fontId="1" fillId="0" borderId="20" xfId="0" applyNumberFormat="1" applyFont="1" applyBorder="1" applyAlignment="1">
      <alignment wrapText="1"/>
    </xf>
    <xf numFmtId="3" fontId="2" fillId="0" borderId="19" xfId="0" applyNumberFormat="1" applyFont="1" applyBorder="1" applyAlignment="1">
      <alignment/>
    </xf>
    <xf numFmtId="0" fontId="16" fillId="0" borderId="19" xfId="0" applyFont="1" applyBorder="1" applyAlignment="1">
      <alignment wrapText="1"/>
    </xf>
    <xf numFmtId="0" fontId="2" fillId="0" borderId="2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9" xfId="0" applyFont="1" applyBorder="1" applyAlignment="1">
      <alignment horizontal="center"/>
    </xf>
    <xf numFmtId="3" fontId="17" fillId="0" borderId="19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 horizontal="right" vertical="center" wrapText="1"/>
    </xf>
    <xf numFmtId="3" fontId="17" fillId="0" borderId="18" xfId="0" applyNumberFormat="1" applyFont="1" applyBorder="1" applyAlignment="1">
      <alignment horizontal="right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3" fontId="16" fillId="0" borderId="18" xfId="0" applyNumberFormat="1" applyFont="1" applyBorder="1" applyAlignment="1">
      <alignment horizontal="right" vertical="center" wrapText="1"/>
    </xf>
    <xf numFmtId="3" fontId="16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3" fontId="16" fillId="0" borderId="18" xfId="0" applyNumberFormat="1" applyFont="1" applyBorder="1" applyAlignment="1">
      <alignment/>
    </xf>
    <xf numFmtId="3" fontId="2" fillId="0" borderId="23" xfId="0" applyNumberFormat="1" applyFont="1" applyBorder="1" applyAlignment="1">
      <alignment wrapText="1"/>
    </xf>
    <xf numFmtId="3" fontId="2" fillId="0" borderId="14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16" fillId="0" borderId="20" xfId="0" applyNumberFormat="1" applyFont="1" applyBorder="1" applyAlignment="1">
      <alignment wrapText="1"/>
    </xf>
    <xf numFmtId="0" fontId="2" fillId="0" borderId="22" xfId="0" applyFont="1" applyBorder="1" applyAlignment="1">
      <alignment/>
    </xf>
    <xf numFmtId="49" fontId="1" fillId="0" borderId="21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 vertical="center"/>
    </xf>
    <xf numFmtId="0" fontId="1" fillId="0" borderId="2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1" xfId="0" applyFont="1" applyBorder="1" applyAlignment="1">
      <alignment horizontal="left" wrapText="1"/>
    </xf>
    <xf numFmtId="49" fontId="2" fillId="0" borderId="21" xfId="0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0" fontId="2" fillId="0" borderId="24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25" xfId="0" applyFont="1" applyBorder="1" applyAlignment="1">
      <alignment/>
    </xf>
    <xf numFmtId="3" fontId="2" fillId="0" borderId="2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7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1" fillId="0" borderId="26" xfId="0" applyNumberFormat="1" applyFont="1" applyBorder="1" applyAlignment="1">
      <alignment/>
    </xf>
    <xf numFmtId="3" fontId="2" fillId="0" borderId="26" xfId="0" applyNumberFormat="1" applyFont="1" applyBorder="1" applyAlignment="1">
      <alignment/>
    </xf>
    <xf numFmtId="3" fontId="16" fillId="0" borderId="26" xfId="0" applyNumberFormat="1" applyFont="1" applyBorder="1" applyAlignment="1">
      <alignment/>
    </xf>
    <xf numFmtId="0" fontId="0" fillId="0" borderId="0" xfId="0" applyAlignment="1">
      <alignment horizontal="left"/>
    </xf>
    <xf numFmtId="0" fontId="5" fillId="0" borderId="13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3" fontId="1" fillId="0" borderId="19" xfId="0" applyNumberFormat="1" applyFont="1" applyBorder="1" applyAlignment="1">
      <alignment vertical="justify" wrapText="1"/>
    </xf>
    <xf numFmtId="3" fontId="1" fillId="0" borderId="18" xfId="0" applyNumberFormat="1" applyFont="1" applyBorder="1" applyAlignment="1">
      <alignment vertical="justify" wrapText="1"/>
    </xf>
    <xf numFmtId="0" fontId="2" fillId="0" borderId="0" xfId="0" applyFont="1" applyBorder="1" applyAlignment="1">
      <alignment vertical="justify"/>
    </xf>
    <xf numFmtId="0" fontId="2" fillId="0" borderId="0" xfId="0" applyFont="1" applyAlignment="1">
      <alignment vertical="justify"/>
    </xf>
    <xf numFmtId="3" fontId="2" fillId="0" borderId="14" xfId="0" applyNumberFormat="1" applyFont="1" applyBorder="1" applyAlignment="1">
      <alignment horizontal="right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3" fontId="2" fillId="0" borderId="14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Continuous"/>
    </xf>
    <xf numFmtId="0" fontId="2" fillId="0" borderId="31" xfId="0" applyFont="1" applyBorder="1" applyAlignment="1">
      <alignment horizontal="centerContinuous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/>
    </xf>
    <xf numFmtId="3" fontId="17" fillId="0" borderId="26" xfId="0" applyNumberFormat="1" applyFont="1" applyBorder="1" applyAlignment="1">
      <alignment horizontal="right" vertical="center" wrapText="1"/>
    </xf>
    <xf numFmtId="0" fontId="17" fillId="0" borderId="21" xfId="0" applyFont="1" applyBorder="1" applyAlignment="1">
      <alignment/>
    </xf>
    <xf numFmtId="0" fontId="1" fillId="0" borderId="21" xfId="0" applyFont="1" applyBorder="1" applyAlignment="1">
      <alignment vertical="center" wrapText="1"/>
    </xf>
    <xf numFmtId="0" fontId="16" fillId="0" borderId="21" xfId="0" applyFont="1" applyBorder="1" applyAlignment="1">
      <alignment/>
    </xf>
    <xf numFmtId="0" fontId="16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wrapText="1"/>
    </xf>
    <xf numFmtId="0" fontId="2" fillId="0" borderId="21" xfId="0" applyFont="1" applyBorder="1" applyAlignment="1">
      <alignment shrinkToFit="1"/>
    </xf>
    <xf numFmtId="3" fontId="2" fillId="0" borderId="26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shrinkToFit="1"/>
    </xf>
    <xf numFmtId="0" fontId="16" fillId="0" borderId="21" xfId="0" applyFont="1" applyBorder="1" applyAlignment="1">
      <alignment shrinkToFit="1"/>
    </xf>
    <xf numFmtId="0" fontId="16" fillId="0" borderId="21" xfId="0" applyFont="1" applyBorder="1" applyAlignment="1">
      <alignment wrapText="1"/>
    </xf>
    <xf numFmtId="49" fontId="1" fillId="0" borderId="21" xfId="0" applyNumberFormat="1" applyFont="1" applyBorder="1" applyAlignment="1">
      <alignment shrinkToFit="1"/>
    </xf>
    <xf numFmtId="49" fontId="2" fillId="0" borderId="21" xfId="0" applyNumberFormat="1" applyFont="1" applyBorder="1" applyAlignment="1">
      <alignment shrinkToFit="1"/>
    </xf>
    <xf numFmtId="0" fontId="2" fillId="0" borderId="24" xfId="0" applyFont="1" applyBorder="1" applyAlignment="1">
      <alignment shrinkToFit="1"/>
    </xf>
    <xf numFmtId="3" fontId="2" fillId="0" borderId="25" xfId="0" applyNumberFormat="1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right" vertical="center" wrapText="1"/>
    </xf>
    <xf numFmtId="3" fontId="17" fillId="0" borderId="35" xfId="0" applyNumberFormat="1" applyFont="1" applyBorder="1" applyAlignment="1">
      <alignment horizontal="right" vertical="center" wrapText="1"/>
    </xf>
    <xf numFmtId="3" fontId="1" fillId="0" borderId="35" xfId="0" applyNumberFormat="1" applyFont="1" applyBorder="1" applyAlignment="1">
      <alignment horizontal="right" vertical="center" wrapText="1"/>
    </xf>
    <xf numFmtId="3" fontId="16" fillId="0" borderId="35" xfId="0" applyNumberFormat="1" applyFont="1" applyBorder="1" applyAlignment="1">
      <alignment horizontal="right" vertical="center" wrapText="1"/>
    </xf>
    <xf numFmtId="3" fontId="16" fillId="0" borderId="35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1" fillId="0" borderId="35" xfId="0" applyNumberFormat="1" applyFont="1" applyBorder="1" applyAlignment="1">
      <alignment/>
    </xf>
    <xf numFmtId="3" fontId="16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3" fontId="1" fillId="0" borderId="26" xfId="0" applyNumberFormat="1" applyFont="1" applyBorder="1" applyAlignment="1">
      <alignment horizontal="right" vertical="center" wrapText="1"/>
    </xf>
    <xf numFmtId="3" fontId="16" fillId="0" borderId="26" xfId="0" applyNumberFormat="1" applyFont="1" applyBorder="1" applyAlignment="1">
      <alignment horizontal="right" vertical="center" wrapText="1"/>
    </xf>
    <xf numFmtId="3" fontId="16" fillId="0" borderId="26" xfId="0" applyNumberFormat="1" applyFont="1" applyBorder="1" applyAlignment="1">
      <alignment/>
    </xf>
    <xf numFmtId="3" fontId="2" fillId="0" borderId="27" xfId="0" applyNumberFormat="1" applyFont="1" applyBorder="1" applyAlignment="1">
      <alignment/>
    </xf>
    <xf numFmtId="0" fontId="2" fillId="0" borderId="34" xfId="0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right" vertical="center" wrapText="1"/>
    </xf>
    <xf numFmtId="0" fontId="2" fillId="0" borderId="21" xfId="0" applyFont="1" applyBorder="1" applyAlignment="1">
      <alignment vertical="justify"/>
    </xf>
    <xf numFmtId="0" fontId="2" fillId="0" borderId="21" xfId="0" applyFont="1" applyBorder="1" applyAlignment="1">
      <alignment wrapText="1"/>
    </xf>
    <xf numFmtId="0" fontId="2" fillId="0" borderId="37" xfId="0" applyFont="1" applyBorder="1" applyAlignment="1">
      <alignment wrapText="1"/>
    </xf>
    <xf numFmtId="0" fontId="1" fillId="0" borderId="21" xfId="0" applyFont="1" applyBorder="1" applyAlignment="1">
      <alignment horizontal="left" wrapText="1"/>
    </xf>
    <xf numFmtId="0" fontId="1" fillId="0" borderId="21" xfId="0" applyFont="1" applyBorder="1" applyAlignment="1">
      <alignment vertical="justify"/>
    </xf>
    <xf numFmtId="0" fontId="1" fillId="0" borderId="21" xfId="0" applyFont="1" applyBorder="1" applyAlignment="1">
      <alignment/>
    </xf>
    <xf numFmtId="0" fontId="2" fillId="0" borderId="21" xfId="0" applyFont="1" applyBorder="1" applyAlignment="1">
      <alignment vertical="justify"/>
    </xf>
    <xf numFmtId="0" fontId="2" fillId="0" borderId="21" xfId="0" applyFont="1" applyBorder="1" applyAlignment="1">
      <alignment wrapText="1"/>
    </xf>
    <xf numFmtId="0" fontId="16" fillId="0" borderId="21" xfId="0" applyFont="1" applyBorder="1" applyAlignment="1">
      <alignment/>
    </xf>
    <xf numFmtId="0" fontId="16" fillId="0" borderId="37" xfId="0" applyFont="1" applyBorder="1" applyAlignment="1">
      <alignment/>
    </xf>
    <xf numFmtId="49" fontId="16" fillId="0" borderId="37" xfId="0" applyNumberFormat="1" applyFont="1" applyBorder="1" applyAlignment="1">
      <alignment/>
    </xf>
    <xf numFmtId="0" fontId="2" fillId="0" borderId="37" xfId="0" applyFont="1" applyBorder="1" applyAlignment="1">
      <alignment vertical="center" wrapText="1"/>
    </xf>
    <xf numFmtId="0" fontId="1" fillId="0" borderId="37" xfId="0" applyFont="1" applyBorder="1" applyAlignment="1">
      <alignment wrapText="1"/>
    </xf>
    <xf numFmtId="0" fontId="1" fillId="0" borderId="37" xfId="0" applyFont="1" applyBorder="1" applyAlignment="1">
      <alignment/>
    </xf>
    <xf numFmtId="0" fontId="2" fillId="0" borderId="37" xfId="0" applyFont="1" applyBorder="1" applyAlignment="1">
      <alignment/>
    </xf>
    <xf numFmtId="49" fontId="1" fillId="0" borderId="37" xfId="0" applyNumberFormat="1" applyFont="1" applyBorder="1" applyAlignment="1">
      <alignment/>
    </xf>
    <xf numFmtId="0" fontId="2" fillId="0" borderId="24" xfId="0" applyFont="1" applyBorder="1" applyAlignment="1">
      <alignment wrapText="1"/>
    </xf>
    <xf numFmtId="3" fontId="2" fillId="0" borderId="25" xfId="0" applyNumberFormat="1" applyFont="1" applyBorder="1" applyAlignment="1">
      <alignment vertical="center" wrapText="1"/>
    </xf>
    <xf numFmtId="3" fontId="2" fillId="0" borderId="38" xfId="0" applyNumberFormat="1" applyFont="1" applyBorder="1" applyAlignment="1">
      <alignment vertical="center" wrapText="1"/>
    </xf>
    <xf numFmtId="3" fontId="2" fillId="0" borderId="39" xfId="0" applyNumberFormat="1" applyFont="1" applyBorder="1" applyAlignment="1">
      <alignment wrapText="1"/>
    </xf>
    <xf numFmtId="3" fontId="2" fillId="0" borderId="40" xfId="0" applyNumberFormat="1" applyFont="1" applyBorder="1" applyAlignment="1">
      <alignment wrapText="1"/>
    </xf>
    <xf numFmtId="3" fontId="2" fillId="0" borderId="35" xfId="0" applyNumberFormat="1" applyFont="1" applyBorder="1" applyAlignment="1">
      <alignment wrapText="1"/>
    </xf>
    <xf numFmtId="3" fontId="1" fillId="0" borderId="40" xfId="0" applyNumberFormat="1" applyFont="1" applyBorder="1" applyAlignment="1">
      <alignment wrapText="1"/>
    </xf>
    <xf numFmtId="3" fontId="1" fillId="0" borderId="40" xfId="0" applyNumberFormat="1" applyFont="1" applyBorder="1" applyAlignment="1">
      <alignment vertical="justify" wrapText="1"/>
    </xf>
    <xf numFmtId="3" fontId="1" fillId="0" borderId="40" xfId="0" applyNumberFormat="1" applyFont="1" applyBorder="1" applyAlignment="1">
      <alignment wrapText="1"/>
    </xf>
    <xf numFmtId="3" fontId="2" fillId="0" borderId="40" xfId="0" applyNumberFormat="1" applyFont="1" applyBorder="1" applyAlignment="1">
      <alignment wrapText="1"/>
    </xf>
    <xf numFmtId="3" fontId="2" fillId="0" borderId="35" xfId="0" applyNumberFormat="1" applyFont="1" applyBorder="1" applyAlignment="1">
      <alignment wrapText="1"/>
    </xf>
    <xf numFmtId="3" fontId="1" fillId="0" borderId="35" xfId="0" applyNumberFormat="1" applyFont="1" applyBorder="1" applyAlignment="1">
      <alignment wrapText="1"/>
    </xf>
    <xf numFmtId="3" fontId="16" fillId="0" borderId="40" xfId="0" applyNumberFormat="1" applyFont="1" applyBorder="1" applyAlignment="1">
      <alignment wrapText="1"/>
    </xf>
    <xf numFmtId="3" fontId="16" fillId="0" borderId="41" xfId="0" applyNumberFormat="1" applyFont="1" applyBorder="1" applyAlignment="1">
      <alignment wrapText="1"/>
    </xf>
    <xf numFmtId="3" fontId="2" fillId="0" borderId="42" xfId="0" applyNumberFormat="1" applyFont="1" applyBorder="1" applyAlignment="1">
      <alignment wrapText="1"/>
    </xf>
    <xf numFmtId="3" fontId="1" fillId="0" borderId="41" xfId="0" applyNumberFormat="1" applyFont="1" applyBorder="1" applyAlignment="1">
      <alignment wrapText="1"/>
    </xf>
    <xf numFmtId="3" fontId="2" fillId="0" borderId="41" xfId="0" applyNumberFormat="1" applyFont="1" applyBorder="1" applyAlignment="1">
      <alignment wrapText="1"/>
    </xf>
    <xf numFmtId="3" fontId="2" fillId="0" borderId="36" xfId="0" applyNumberFormat="1" applyFont="1" applyBorder="1" applyAlignment="1">
      <alignment vertical="center" wrapText="1"/>
    </xf>
    <xf numFmtId="3" fontId="2" fillId="0" borderId="43" xfId="0" applyNumberFormat="1" applyFont="1" applyBorder="1" applyAlignment="1">
      <alignment wrapText="1"/>
    </xf>
    <xf numFmtId="3" fontId="2" fillId="0" borderId="26" xfId="0" applyNumberFormat="1" applyFont="1" applyBorder="1" applyAlignment="1">
      <alignment wrapText="1"/>
    </xf>
    <xf numFmtId="3" fontId="1" fillId="0" borderId="26" xfId="0" applyNumberFormat="1" applyFont="1" applyBorder="1" applyAlignment="1">
      <alignment wrapText="1"/>
    </xf>
    <xf numFmtId="3" fontId="1" fillId="0" borderId="26" xfId="0" applyNumberFormat="1" applyFont="1" applyBorder="1" applyAlignment="1">
      <alignment vertical="justify" wrapText="1"/>
    </xf>
    <xf numFmtId="3" fontId="1" fillId="0" borderId="26" xfId="0" applyNumberFormat="1" applyFont="1" applyBorder="1" applyAlignment="1">
      <alignment wrapText="1"/>
    </xf>
    <xf numFmtId="3" fontId="2" fillId="0" borderId="26" xfId="0" applyNumberFormat="1" applyFont="1" applyBorder="1" applyAlignment="1">
      <alignment wrapText="1"/>
    </xf>
    <xf numFmtId="3" fontId="16" fillId="0" borderId="26" xfId="0" applyNumberFormat="1" applyFont="1" applyBorder="1" applyAlignment="1">
      <alignment wrapText="1"/>
    </xf>
    <xf numFmtId="3" fontId="2" fillId="0" borderId="27" xfId="0" applyNumberFormat="1" applyFont="1" applyBorder="1" applyAlignment="1">
      <alignment vertical="center" wrapText="1"/>
    </xf>
    <xf numFmtId="3" fontId="2" fillId="0" borderId="29" xfId="0" applyNumberFormat="1" applyFont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3" fontId="2" fillId="0" borderId="15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0" fontId="1" fillId="0" borderId="18" xfId="0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0" fontId="2" fillId="0" borderId="44" xfId="0" applyFont="1" applyBorder="1" applyAlignment="1">
      <alignment horizontal="center" vertical="center" wrapText="1"/>
    </xf>
    <xf numFmtId="3" fontId="2" fillId="0" borderId="45" xfId="0" applyNumberFormat="1" applyFont="1" applyBorder="1" applyAlignment="1">
      <alignment/>
    </xf>
    <xf numFmtId="0" fontId="2" fillId="0" borderId="45" xfId="0" applyFont="1" applyBorder="1" applyAlignment="1">
      <alignment horizontal="center" vertical="center" wrapText="1"/>
    </xf>
    <xf numFmtId="3" fontId="2" fillId="0" borderId="46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3" fontId="1" fillId="0" borderId="21" xfId="0" applyNumberFormat="1" applyFont="1" applyBorder="1" applyAlignment="1">
      <alignment/>
    </xf>
    <xf numFmtId="3" fontId="1" fillId="0" borderId="21" xfId="0" applyNumberFormat="1" applyFont="1" applyBorder="1" applyAlignment="1">
      <alignment vertical="justify"/>
    </xf>
    <xf numFmtId="3" fontId="2" fillId="0" borderId="24" xfId="0" applyNumberFormat="1" applyFont="1" applyBorder="1" applyAlignment="1">
      <alignment/>
    </xf>
    <xf numFmtId="3" fontId="2" fillId="0" borderId="33" xfId="0" applyNumberFormat="1" applyFont="1" applyBorder="1" applyAlignment="1">
      <alignment wrapText="1"/>
    </xf>
    <xf numFmtId="3" fontId="17" fillId="0" borderId="21" xfId="0" applyNumberFormat="1" applyFont="1" applyBorder="1" applyAlignment="1">
      <alignment horizontal="right" vertical="center" wrapText="1"/>
    </xf>
    <xf numFmtId="3" fontId="16" fillId="0" borderId="21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3" fontId="1" fillId="0" borderId="21" xfId="0" applyNumberFormat="1" applyFont="1" applyBorder="1" applyAlignment="1">
      <alignment horizontal="right" vertical="center" wrapText="1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4" xfId="0" applyNumberFormat="1" applyFont="1" applyBorder="1" applyAlignment="1">
      <alignment horizontal="right" vertic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3" fontId="1" fillId="0" borderId="15" xfId="0" applyNumberFormat="1" applyFont="1" applyBorder="1" applyAlignment="1">
      <alignment/>
    </xf>
    <xf numFmtId="0" fontId="2" fillId="0" borderId="50" xfId="0" applyFont="1" applyBorder="1" applyAlignment="1">
      <alignment horizontal="center" vertical="center" wrapText="1"/>
    </xf>
    <xf numFmtId="3" fontId="2" fillId="0" borderId="38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3" fontId="2" fillId="0" borderId="17" xfId="0" applyNumberFormat="1" applyFont="1" applyBorder="1" applyAlignment="1">
      <alignment/>
    </xf>
    <xf numFmtId="0" fontId="1" fillId="0" borderId="52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49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51" xfId="0" applyFont="1" applyBorder="1" applyAlignment="1">
      <alignment/>
    </xf>
    <xf numFmtId="0" fontId="2" fillId="0" borderId="13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51" xfId="0" applyNumberFormat="1" applyFont="1" applyBorder="1" applyAlignment="1">
      <alignment/>
    </xf>
    <xf numFmtId="0" fontId="1" fillId="0" borderId="16" xfId="0" applyFont="1" applyBorder="1" applyAlignment="1">
      <alignment/>
    </xf>
    <xf numFmtId="0" fontId="2" fillId="0" borderId="43" xfId="0" applyFont="1" applyBorder="1" applyAlignment="1">
      <alignment horizontal="center"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3" fontId="2" fillId="0" borderId="45" xfId="0" applyNumberFormat="1" applyFont="1" applyBorder="1" applyAlignment="1">
      <alignment wrapText="1"/>
    </xf>
    <xf numFmtId="3" fontId="2" fillId="0" borderId="36" xfId="0" applyNumberFormat="1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37" xfId="0" applyFont="1" applyBorder="1" applyAlignment="1">
      <alignment shrinkToFit="1"/>
    </xf>
    <xf numFmtId="3" fontId="2" fillId="0" borderId="20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3" fontId="2" fillId="0" borderId="56" xfId="0" applyNumberFormat="1" applyFont="1" applyBorder="1" applyAlignment="1">
      <alignment/>
    </xf>
    <xf numFmtId="3" fontId="2" fillId="0" borderId="42" xfId="0" applyNumberFormat="1" applyFont="1" applyBorder="1" applyAlignment="1">
      <alignment/>
    </xf>
    <xf numFmtId="3" fontId="2" fillId="0" borderId="37" xfId="0" applyNumberFormat="1" applyFont="1" applyBorder="1" applyAlignment="1">
      <alignment horizontal="right" vertical="center" wrapText="1"/>
    </xf>
    <xf numFmtId="3" fontId="17" fillId="0" borderId="20" xfId="0" applyNumberFormat="1" applyFont="1" applyBorder="1" applyAlignment="1">
      <alignment horizontal="right" vertical="center" wrapText="1"/>
    </xf>
    <xf numFmtId="49" fontId="2" fillId="0" borderId="37" xfId="0" applyNumberFormat="1" applyFont="1" applyBorder="1" applyAlignment="1">
      <alignment/>
    </xf>
    <xf numFmtId="3" fontId="2" fillId="0" borderId="56" xfId="0" applyNumberFormat="1" applyFont="1" applyBorder="1" applyAlignment="1">
      <alignment wrapText="1"/>
    </xf>
    <xf numFmtId="3" fontId="2" fillId="0" borderId="37" xfId="0" applyNumberFormat="1" applyFont="1" applyBorder="1" applyAlignment="1">
      <alignment/>
    </xf>
    <xf numFmtId="3" fontId="2" fillId="0" borderId="33" xfId="0" applyNumberFormat="1" applyFont="1" applyBorder="1" applyAlignment="1">
      <alignment/>
    </xf>
    <xf numFmtId="3" fontId="1" fillId="0" borderId="23" xfId="0" applyNumberFormat="1" applyFont="1" applyBorder="1" applyAlignment="1">
      <alignment wrapText="1"/>
    </xf>
    <xf numFmtId="3" fontId="17" fillId="0" borderId="27" xfId="0" applyNumberFormat="1" applyFont="1" applyBorder="1" applyAlignment="1">
      <alignment horizontal="right" vertical="center" wrapText="1"/>
    </xf>
    <xf numFmtId="0" fontId="2" fillId="0" borderId="18" xfId="0" applyFont="1" applyBorder="1" applyAlignment="1">
      <alignment/>
    </xf>
    <xf numFmtId="3" fontId="2" fillId="0" borderId="54" xfId="0" applyNumberFormat="1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10" fillId="0" borderId="0" xfId="100" applyFont="1" applyAlignment="1">
      <alignment horizontal="center"/>
      <protection/>
    </xf>
    <xf numFmtId="0" fontId="6" fillId="0" borderId="0" xfId="100" applyFont="1">
      <alignment/>
      <protection/>
    </xf>
    <xf numFmtId="0" fontId="10" fillId="0" borderId="19" xfId="100" applyFont="1" applyBorder="1" applyAlignment="1">
      <alignment horizontal="center" vertical="center"/>
      <protection/>
    </xf>
    <xf numFmtId="0" fontId="10" fillId="0" borderId="19" xfId="100" applyFont="1" applyBorder="1" applyAlignment="1">
      <alignment horizontal="center" vertical="center" wrapText="1"/>
      <protection/>
    </xf>
    <xf numFmtId="0" fontId="6" fillId="0" borderId="19" xfId="100" applyFont="1" applyBorder="1" applyAlignment="1">
      <alignment vertical="center" wrapText="1"/>
      <protection/>
    </xf>
    <xf numFmtId="3" fontId="6" fillId="0" borderId="19" xfId="100" applyNumberFormat="1" applyFont="1" applyBorder="1" applyAlignment="1">
      <alignment vertical="center" wrapText="1"/>
      <protection/>
    </xf>
    <xf numFmtId="3" fontId="6" fillId="0" borderId="19" xfId="100" applyNumberFormat="1" applyFont="1" applyBorder="1" applyAlignment="1">
      <alignment vertical="center"/>
      <protection/>
    </xf>
    <xf numFmtId="0" fontId="6" fillId="0" borderId="19" xfId="100" applyFont="1" applyBorder="1">
      <alignment/>
      <protection/>
    </xf>
    <xf numFmtId="3" fontId="6" fillId="0" borderId="19" xfId="100" applyNumberFormat="1" applyFont="1" applyBorder="1">
      <alignment/>
      <protection/>
    </xf>
    <xf numFmtId="0" fontId="10" fillId="0" borderId="19" xfId="100" applyFont="1" applyBorder="1">
      <alignment/>
      <protection/>
    </xf>
    <xf numFmtId="3" fontId="10" fillId="0" borderId="19" xfId="100" applyNumberFormat="1" applyFont="1" applyBorder="1">
      <alignment/>
      <protection/>
    </xf>
    <xf numFmtId="3" fontId="10" fillId="0" borderId="19" xfId="100" applyNumberFormat="1" applyFont="1" applyBorder="1" applyAlignment="1">
      <alignment vertical="center"/>
      <protection/>
    </xf>
    <xf numFmtId="0" fontId="25" fillId="0" borderId="19" xfId="100" applyFont="1" applyBorder="1">
      <alignment/>
      <protection/>
    </xf>
    <xf numFmtId="3" fontId="25" fillId="0" borderId="19" xfId="100" applyNumberFormat="1" applyFont="1" applyBorder="1">
      <alignment/>
      <protection/>
    </xf>
    <xf numFmtId="3" fontId="25" fillId="0" borderId="19" xfId="100" applyNumberFormat="1" applyFont="1" applyBorder="1" applyAlignment="1">
      <alignment vertical="center"/>
      <protection/>
    </xf>
    <xf numFmtId="0" fontId="25" fillId="0" borderId="19" xfId="100" applyFont="1" applyBorder="1" applyAlignment="1">
      <alignment vertical="center" wrapText="1"/>
      <protection/>
    </xf>
    <xf numFmtId="3" fontId="25" fillId="0" borderId="19" xfId="100" applyNumberFormat="1" applyFont="1" applyBorder="1" applyAlignment="1">
      <alignment vertical="center" wrapText="1"/>
      <protection/>
    </xf>
    <xf numFmtId="0" fontId="10" fillId="0" borderId="19" xfId="100" applyFont="1" applyBorder="1" applyAlignment="1">
      <alignment vertical="center" wrapText="1"/>
      <protection/>
    </xf>
    <xf numFmtId="3" fontId="10" fillId="0" borderId="19" xfId="100" applyNumberFormat="1" applyFont="1" applyBorder="1" applyAlignment="1">
      <alignment vertical="center" wrapText="1"/>
      <protection/>
    </xf>
    <xf numFmtId="0" fontId="19" fillId="0" borderId="0" xfId="100">
      <alignment/>
      <protection/>
    </xf>
    <xf numFmtId="3" fontId="19" fillId="0" borderId="0" xfId="100" applyNumberFormat="1">
      <alignment/>
      <protection/>
    </xf>
    <xf numFmtId="3" fontId="26" fillId="0" borderId="0" xfId="100" applyNumberFormat="1" applyFont="1">
      <alignment/>
      <protection/>
    </xf>
    <xf numFmtId="0" fontId="6" fillId="0" borderId="0" xfId="104" applyFont="1">
      <alignment/>
      <protection/>
    </xf>
    <xf numFmtId="0" fontId="44" fillId="0" borderId="0" xfId="104" applyFont="1" applyAlignment="1">
      <alignment horizontal="center" wrapText="1"/>
      <protection/>
    </xf>
    <xf numFmtId="0" fontId="10" fillId="0" borderId="57" xfId="104" applyFont="1" applyBorder="1" applyAlignment="1">
      <alignment horizontal="center" vertical="center"/>
      <protection/>
    </xf>
    <xf numFmtId="0" fontId="10" fillId="0" borderId="57" xfId="104" applyFont="1" applyBorder="1" applyAlignment="1">
      <alignment horizontal="center" vertical="center" wrapText="1"/>
      <protection/>
    </xf>
    <xf numFmtId="3" fontId="6" fillId="0" borderId="57" xfId="104" applyNumberFormat="1" applyFont="1" applyBorder="1">
      <alignment/>
      <protection/>
    </xf>
    <xf numFmtId="3" fontId="10" fillId="0" borderId="57" xfId="104" applyNumberFormat="1" applyFont="1" applyBorder="1">
      <alignment/>
      <protection/>
    </xf>
    <xf numFmtId="0" fontId="10" fillId="0" borderId="0" xfId="93" applyFont="1">
      <alignment/>
      <protection/>
    </xf>
    <xf numFmtId="0" fontId="6" fillId="0" borderId="0" xfId="93" applyFont="1">
      <alignment/>
      <protection/>
    </xf>
    <xf numFmtId="0" fontId="10" fillId="0" borderId="0" xfId="93" applyFont="1" applyBorder="1" applyAlignment="1">
      <alignment horizontal="center"/>
      <protection/>
    </xf>
    <xf numFmtId="0" fontId="6" fillId="0" borderId="0" xfId="93" applyFont="1" applyBorder="1" applyAlignment="1">
      <alignment horizontal="center"/>
      <protection/>
    </xf>
    <xf numFmtId="0" fontId="10" fillId="0" borderId="58" xfId="93" applyFont="1" applyBorder="1">
      <alignment/>
      <protection/>
    </xf>
    <xf numFmtId="0" fontId="10" fillId="0" borderId="59" xfId="93" applyFont="1" applyBorder="1" applyAlignment="1">
      <alignment horizontal="center"/>
      <protection/>
    </xf>
    <xf numFmtId="0" fontId="10" fillId="0" borderId="60" xfId="93" applyFont="1" applyBorder="1" applyAlignment="1">
      <alignment horizontal="center"/>
      <protection/>
    </xf>
    <xf numFmtId="0" fontId="45" fillId="0" borderId="61" xfId="93" applyFont="1" applyBorder="1">
      <alignment/>
      <protection/>
    </xf>
    <xf numFmtId="0" fontId="10" fillId="0" borderId="62" xfId="93" applyFont="1" applyBorder="1" applyAlignment="1">
      <alignment horizontal="center"/>
      <protection/>
    </xf>
    <xf numFmtId="0" fontId="45" fillId="0" borderId="63" xfId="93" applyFont="1" applyBorder="1">
      <alignment/>
      <protection/>
    </xf>
    <xf numFmtId="0" fontId="10" fillId="0" borderId="57" xfId="93" applyFont="1" applyBorder="1" applyAlignment="1">
      <alignment horizontal="center"/>
      <protection/>
    </xf>
    <xf numFmtId="0" fontId="6" fillId="0" borderId="63" xfId="93" applyFont="1" applyBorder="1">
      <alignment/>
      <protection/>
    </xf>
    <xf numFmtId="3" fontId="6" fillId="0" borderId="57" xfId="93" applyNumberFormat="1" applyFont="1" applyBorder="1">
      <alignment/>
      <protection/>
    </xf>
    <xf numFmtId="0" fontId="25" fillId="0" borderId="63" xfId="93" applyFont="1" applyBorder="1">
      <alignment/>
      <protection/>
    </xf>
    <xf numFmtId="3" fontId="25" fillId="0" borderId="57" xfId="93" applyNumberFormat="1" applyFont="1" applyBorder="1">
      <alignment/>
      <protection/>
    </xf>
    <xf numFmtId="0" fontId="25" fillId="0" borderId="0" xfId="93" applyFont="1">
      <alignment/>
      <protection/>
    </xf>
    <xf numFmtId="0" fontId="10" fillId="0" borderId="63" xfId="93" applyFont="1" applyBorder="1">
      <alignment/>
      <protection/>
    </xf>
    <xf numFmtId="3" fontId="10" fillId="0" borderId="57" xfId="93" applyNumberFormat="1" applyFont="1" applyBorder="1">
      <alignment/>
      <protection/>
    </xf>
    <xf numFmtId="0" fontId="6" fillId="0" borderId="57" xfId="93" applyFont="1" applyBorder="1">
      <alignment/>
      <protection/>
    </xf>
    <xf numFmtId="0" fontId="45" fillId="0" borderId="63" xfId="93" applyFont="1" applyBorder="1" applyAlignment="1">
      <alignment horizontal="left" vertical="center"/>
      <protection/>
    </xf>
    <xf numFmtId="0" fontId="10" fillId="0" borderId="57" xfId="93" applyFont="1" applyBorder="1" applyAlignment="1">
      <alignment horizontal="center" vertical="center" wrapText="1"/>
      <protection/>
    </xf>
    <xf numFmtId="0" fontId="6" fillId="0" borderId="63" xfId="93" applyFont="1" applyBorder="1" applyAlignment="1">
      <alignment horizontal="left" vertical="center"/>
      <protection/>
    </xf>
    <xf numFmtId="3" fontId="6" fillId="0" borderId="57" xfId="93" applyNumberFormat="1" applyFont="1" applyBorder="1" applyAlignment="1">
      <alignment horizontal="right" vertical="center" wrapText="1"/>
      <protection/>
    </xf>
    <xf numFmtId="0" fontId="6" fillId="0" borderId="63" xfId="93" applyFont="1" applyBorder="1" applyAlignment="1">
      <alignment wrapText="1"/>
      <protection/>
    </xf>
    <xf numFmtId="0" fontId="6" fillId="0" borderId="63" xfId="93" applyFont="1" applyBorder="1">
      <alignment/>
      <protection/>
    </xf>
    <xf numFmtId="0" fontId="10" fillId="0" borderId="64" xfId="93" applyFont="1" applyBorder="1">
      <alignment/>
      <protection/>
    </xf>
    <xf numFmtId="3" fontId="10" fillId="0" borderId="65" xfId="93" applyNumberFormat="1" applyFont="1" applyBorder="1">
      <alignment/>
      <protection/>
    </xf>
    <xf numFmtId="0" fontId="10" fillId="0" borderId="66" xfId="93" applyFont="1" applyBorder="1" applyAlignment="1">
      <alignment horizontal="center"/>
      <protection/>
    </xf>
    <xf numFmtId="3" fontId="6" fillId="0" borderId="67" xfId="93" applyNumberFormat="1" applyFont="1" applyBorder="1" applyAlignment="1">
      <alignment horizontal="right"/>
      <protection/>
    </xf>
    <xf numFmtId="3" fontId="6" fillId="0" borderId="68" xfId="93" applyNumberFormat="1" applyFont="1" applyBorder="1" applyAlignment="1">
      <alignment horizontal="right"/>
      <protection/>
    </xf>
    <xf numFmtId="3" fontId="25" fillId="0" borderId="68" xfId="93" applyNumberFormat="1" applyFont="1" applyBorder="1" applyAlignment="1">
      <alignment horizontal="right"/>
      <protection/>
    </xf>
    <xf numFmtId="3" fontId="10" fillId="0" borderId="68" xfId="93" applyNumberFormat="1" applyFont="1" applyBorder="1" applyAlignment="1">
      <alignment horizontal="right"/>
      <protection/>
    </xf>
    <xf numFmtId="3" fontId="10" fillId="0" borderId="68" xfId="93" applyNumberFormat="1" applyFont="1" applyBorder="1" applyAlignment="1">
      <alignment horizontal="right"/>
      <protection/>
    </xf>
    <xf numFmtId="3" fontId="10" fillId="0" borderId="69" xfId="93" applyNumberFormat="1" applyFont="1" applyBorder="1" applyAlignment="1">
      <alignment horizontal="right"/>
      <protection/>
    </xf>
    <xf numFmtId="3" fontId="6" fillId="0" borderId="70" xfId="93" applyNumberFormat="1" applyFont="1" applyBorder="1">
      <alignment/>
      <protection/>
    </xf>
    <xf numFmtId="3" fontId="25" fillId="0" borderId="70" xfId="93" applyNumberFormat="1" applyFont="1" applyBorder="1">
      <alignment/>
      <protection/>
    </xf>
    <xf numFmtId="3" fontId="6" fillId="0" borderId="71" xfId="93" applyNumberFormat="1" applyFont="1" applyBorder="1">
      <alignment/>
      <protection/>
    </xf>
    <xf numFmtId="3" fontId="10" fillId="0" borderId="70" xfId="93" applyNumberFormat="1" applyFont="1" applyBorder="1">
      <alignment/>
      <protection/>
    </xf>
    <xf numFmtId="3" fontId="10" fillId="0" borderId="72" xfId="93" applyNumberFormat="1" applyFont="1" applyBorder="1">
      <alignment/>
      <protection/>
    </xf>
    <xf numFmtId="0" fontId="19" fillId="0" borderId="0" xfId="97">
      <alignment/>
      <protection/>
    </xf>
    <xf numFmtId="0" fontId="2" fillId="0" borderId="0" xfId="97" applyFont="1" applyBorder="1" applyAlignment="1">
      <alignment horizontal="center"/>
      <protection/>
    </xf>
    <xf numFmtId="0" fontId="19" fillId="0" borderId="0" xfId="97" applyFont="1" applyAlignment="1">
      <alignment/>
      <protection/>
    </xf>
    <xf numFmtId="3" fontId="6" fillId="0" borderId="0" xfId="97" applyNumberFormat="1" applyFont="1">
      <alignment/>
      <protection/>
    </xf>
    <xf numFmtId="0" fontId="10" fillId="0" borderId="32" xfId="97" applyFont="1" applyBorder="1" applyAlignment="1">
      <alignment horizontal="left"/>
      <protection/>
    </xf>
    <xf numFmtId="0" fontId="10" fillId="0" borderId="73" xfId="97" applyFont="1" applyBorder="1" applyAlignment="1">
      <alignment horizontal="center"/>
      <protection/>
    </xf>
    <xf numFmtId="0" fontId="10" fillId="0" borderId="74" xfId="97" applyFont="1" applyBorder="1" applyAlignment="1">
      <alignment horizontal="center"/>
      <protection/>
    </xf>
    <xf numFmtId="3" fontId="10" fillId="0" borderId="75" xfId="97" applyNumberFormat="1" applyFont="1" applyBorder="1" applyAlignment="1">
      <alignment horizontal="center"/>
      <protection/>
    </xf>
    <xf numFmtId="0" fontId="10" fillId="0" borderId="76" xfId="97" applyFont="1" applyBorder="1">
      <alignment/>
      <protection/>
    </xf>
    <xf numFmtId="0" fontId="10" fillId="0" borderId="22" xfId="97" applyFont="1" applyBorder="1" applyAlignment="1">
      <alignment horizontal="left"/>
      <protection/>
    </xf>
    <xf numFmtId="0" fontId="10" fillId="0" borderId="14" xfId="97" applyFont="1" applyBorder="1" applyAlignment="1">
      <alignment horizontal="center"/>
      <protection/>
    </xf>
    <xf numFmtId="0" fontId="10" fillId="0" borderId="39" xfId="97" applyFont="1" applyBorder="1" applyAlignment="1">
      <alignment horizontal="center"/>
      <protection/>
    </xf>
    <xf numFmtId="3" fontId="6" fillId="0" borderId="15" xfId="97" applyNumberFormat="1" applyFont="1" applyBorder="1">
      <alignment/>
      <protection/>
    </xf>
    <xf numFmtId="0" fontId="19" fillId="0" borderId="43" xfId="97" applyBorder="1">
      <alignment/>
      <protection/>
    </xf>
    <xf numFmtId="0" fontId="10" fillId="0" borderId="21" xfId="97" applyFont="1" applyBorder="1">
      <alignment/>
      <protection/>
    </xf>
    <xf numFmtId="3" fontId="6" fillId="0" borderId="19" xfId="97" applyNumberFormat="1" applyFont="1" applyBorder="1">
      <alignment/>
      <protection/>
    </xf>
    <xf numFmtId="3" fontId="6" fillId="0" borderId="40" xfId="97" applyNumberFormat="1" applyFont="1" applyBorder="1">
      <alignment/>
      <protection/>
    </xf>
    <xf numFmtId="3" fontId="6" fillId="0" borderId="18" xfId="97" applyNumberFormat="1" applyFont="1" applyBorder="1">
      <alignment/>
      <protection/>
    </xf>
    <xf numFmtId="0" fontId="19" fillId="0" borderId="26" xfId="97" applyBorder="1">
      <alignment/>
      <protection/>
    </xf>
    <xf numFmtId="0" fontId="6" fillId="0" borderId="21" xfId="97" applyFont="1" applyBorder="1">
      <alignment/>
      <protection/>
    </xf>
    <xf numFmtId="3" fontId="10" fillId="0" borderId="19" xfId="97" applyNumberFormat="1" applyFont="1" applyBorder="1">
      <alignment/>
      <protection/>
    </xf>
    <xf numFmtId="3" fontId="10" fillId="0" borderId="18" xfId="97" applyNumberFormat="1" applyFont="1" applyBorder="1">
      <alignment/>
      <protection/>
    </xf>
    <xf numFmtId="0" fontId="26" fillId="0" borderId="0" xfId="97" applyFont="1">
      <alignment/>
      <protection/>
    </xf>
    <xf numFmtId="0" fontId="6" fillId="0" borderId="21" xfId="97" applyFont="1" applyBorder="1" applyAlignment="1">
      <alignment wrapText="1"/>
      <protection/>
    </xf>
    <xf numFmtId="3" fontId="10" fillId="0" borderId="40" xfId="97" applyNumberFormat="1" applyFont="1" applyBorder="1">
      <alignment/>
      <protection/>
    </xf>
    <xf numFmtId="0" fontId="45" fillId="0" borderId="24" xfId="97" applyFont="1" applyBorder="1">
      <alignment/>
      <protection/>
    </xf>
    <xf numFmtId="3" fontId="45" fillId="0" borderId="25" xfId="97" applyNumberFormat="1" applyFont="1" applyBorder="1">
      <alignment/>
      <protection/>
    </xf>
    <xf numFmtId="3" fontId="45" fillId="0" borderId="38" xfId="97" applyNumberFormat="1" applyFont="1" applyBorder="1">
      <alignment/>
      <protection/>
    </xf>
    <xf numFmtId="0" fontId="19" fillId="0" borderId="27" xfId="97" applyBorder="1">
      <alignment/>
      <protection/>
    </xf>
    <xf numFmtId="0" fontId="2" fillId="0" borderId="0" xfId="97" applyFont="1">
      <alignment/>
      <protection/>
    </xf>
    <xf numFmtId="0" fontId="1" fillId="0" borderId="0" xfId="97" applyFont="1">
      <alignment/>
      <protection/>
    </xf>
    <xf numFmtId="3" fontId="19" fillId="0" borderId="0" xfId="97" applyNumberFormat="1" applyAlignment="1">
      <alignment horizontal="left"/>
      <protection/>
    </xf>
    <xf numFmtId="3" fontId="19" fillId="0" borderId="0" xfId="97" applyNumberFormat="1">
      <alignment/>
      <protection/>
    </xf>
    <xf numFmtId="3" fontId="19" fillId="0" borderId="22" xfId="97" applyNumberFormat="1" applyBorder="1" applyAlignment="1">
      <alignment horizontal="left"/>
      <protection/>
    </xf>
    <xf numFmtId="3" fontId="19" fillId="0" borderId="14" xfId="97" applyNumberFormat="1" applyBorder="1">
      <alignment/>
      <protection/>
    </xf>
    <xf numFmtId="3" fontId="19" fillId="0" borderId="39" xfId="97" applyNumberFormat="1" applyBorder="1">
      <alignment/>
      <protection/>
    </xf>
    <xf numFmtId="3" fontId="19" fillId="0" borderId="19" xfId="97" applyNumberFormat="1" applyBorder="1">
      <alignment/>
      <protection/>
    </xf>
    <xf numFmtId="0" fontId="6" fillId="0" borderId="37" xfId="97" applyFont="1" applyBorder="1">
      <alignment/>
      <protection/>
    </xf>
    <xf numFmtId="0" fontId="10" fillId="0" borderId="24" xfId="97" applyFont="1" applyBorder="1">
      <alignment/>
      <protection/>
    </xf>
    <xf numFmtId="3" fontId="10" fillId="0" borderId="25" xfId="97" applyNumberFormat="1" applyFont="1" applyBorder="1">
      <alignment/>
      <protection/>
    </xf>
    <xf numFmtId="3" fontId="10" fillId="0" borderId="38" xfId="97" applyNumberFormat="1" applyFont="1" applyBorder="1">
      <alignment/>
      <protection/>
    </xf>
    <xf numFmtId="0" fontId="26" fillId="0" borderId="27" xfId="97" applyFont="1" applyBorder="1">
      <alignment/>
      <protection/>
    </xf>
    <xf numFmtId="3" fontId="6" fillId="0" borderId="0" xfId="97" applyNumberFormat="1" applyFont="1" applyAlignment="1">
      <alignment horizontal="left"/>
      <protection/>
    </xf>
    <xf numFmtId="0" fontId="10" fillId="0" borderId="75" xfId="97" applyFont="1" applyBorder="1" applyAlignment="1">
      <alignment horizontal="center"/>
      <protection/>
    </xf>
    <xf numFmtId="0" fontId="10" fillId="0" borderId="15" xfId="97" applyFont="1" applyBorder="1" applyAlignment="1">
      <alignment horizontal="center"/>
      <protection/>
    </xf>
    <xf numFmtId="3" fontId="10" fillId="0" borderId="21" xfId="97" applyNumberFormat="1" applyFont="1" applyBorder="1" applyAlignment="1">
      <alignment horizontal="left"/>
      <protection/>
    </xf>
    <xf numFmtId="3" fontId="6" fillId="0" borderId="21" xfId="97" applyNumberFormat="1" applyFont="1" applyBorder="1" applyAlignment="1">
      <alignment horizontal="left"/>
      <protection/>
    </xf>
    <xf numFmtId="3" fontId="45" fillId="0" borderId="24" xfId="97" applyNumberFormat="1" applyFont="1" applyBorder="1" applyAlignment="1">
      <alignment horizontal="left"/>
      <protection/>
    </xf>
    <xf numFmtId="3" fontId="6" fillId="0" borderId="26" xfId="97" applyNumberFormat="1" applyFont="1" applyBorder="1">
      <alignment/>
      <protection/>
    </xf>
    <xf numFmtId="3" fontId="10" fillId="0" borderId="26" xfId="97" applyNumberFormat="1" applyFont="1" applyBorder="1">
      <alignment/>
      <protection/>
    </xf>
    <xf numFmtId="3" fontId="10" fillId="0" borderId="27" xfId="97" applyNumberFormat="1" applyFont="1" applyBorder="1">
      <alignment/>
      <protection/>
    </xf>
    <xf numFmtId="3" fontId="6" fillId="0" borderId="43" xfId="97" applyNumberFormat="1" applyFont="1" applyBorder="1">
      <alignment/>
      <protection/>
    </xf>
    <xf numFmtId="3" fontId="6" fillId="0" borderId="27" xfId="97" applyNumberFormat="1" applyFont="1" applyBorder="1">
      <alignment/>
      <protection/>
    </xf>
    <xf numFmtId="3" fontId="45" fillId="0" borderId="27" xfId="97" applyNumberFormat="1" applyFont="1" applyBorder="1">
      <alignment/>
      <protection/>
    </xf>
    <xf numFmtId="0" fontId="5" fillId="0" borderId="0" xfId="97" applyFont="1">
      <alignment/>
      <protection/>
    </xf>
    <xf numFmtId="0" fontId="23" fillId="0" borderId="0" xfId="97" applyFont="1" applyBorder="1" applyAlignment="1">
      <alignment horizontal="center"/>
      <protection/>
    </xf>
    <xf numFmtId="0" fontId="2" fillId="0" borderId="32" xfId="97" applyFont="1" applyBorder="1" applyAlignment="1">
      <alignment vertical="top" wrapText="1"/>
      <protection/>
    </xf>
    <xf numFmtId="0" fontId="2" fillId="0" borderId="73" xfId="97" applyFont="1" applyBorder="1" applyAlignment="1">
      <alignment horizontal="center"/>
      <protection/>
    </xf>
    <xf numFmtId="0" fontId="2" fillId="0" borderId="74" xfId="97" applyFont="1" applyBorder="1" applyAlignment="1">
      <alignment horizontal="center"/>
      <protection/>
    </xf>
    <xf numFmtId="0" fontId="2" fillId="0" borderId="53" xfId="97" applyFont="1" applyBorder="1" applyAlignment="1">
      <alignment vertical="top" wrapText="1"/>
      <protection/>
    </xf>
    <xf numFmtId="0" fontId="2" fillId="0" borderId="54" xfId="97" applyFont="1" applyBorder="1" applyAlignment="1">
      <alignment horizontal="center"/>
      <protection/>
    </xf>
    <xf numFmtId="0" fontId="2" fillId="0" borderId="21" xfId="97" applyFont="1" applyBorder="1" applyAlignment="1">
      <alignment vertical="top" wrapText="1"/>
      <protection/>
    </xf>
    <xf numFmtId="0" fontId="2" fillId="0" borderId="19" xfId="97" applyFont="1" applyBorder="1" applyAlignment="1">
      <alignment horizontal="center"/>
      <protection/>
    </xf>
    <xf numFmtId="0" fontId="6" fillId="0" borderId="22" xfId="97" applyFont="1" applyBorder="1">
      <alignment/>
      <protection/>
    </xf>
    <xf numFmtId="3" fontId="6" fillId="0" borderId="14" xfId="97" applyNumberFormat="1" applyFont="1" applyBorder="1">
      <alignment/>
      <protection/>
    </xf>
    <xf numFmtId="3" fontId="6" fillId="0" borderId="39" xfId="97" applyNumberFormat="1" applyFont="1" applyBorder="1">
      <alignment/>
      <protection/>
    </xf>
    <xf numFmtId="0" fontId="6" fillId="0" borderId="21" xfId="97" applyFont="1" applyBorder="1" applyAlignment="1">
      <alignment vertical="center" wrapText="1"/>
      <protection/>
    </xf>
    <xf numFmtId="0" fontId="6" fillId="0" borderId="21" xfId="97" applyFont="1" applyBorder="1">
      <alignment/>
      <protection/>
    </xf>
    <xf numFmtId="3" fontId="6" fillId="0" borderId="19" xfId="97" applyNumberFormat="1" applyFont="1" applyBorder="1">
      <alignment/>
      <protection/>
    </xf>
    <xf numFmtId="3" fontId="6" fillId="0" borderId="40" xfId="97" applyNumberFormat="1" applyFont="1" applyBorder="1">
      <alignment/>
      <protection/>
    </xf>
    <xf numFmtId="0" fontId="46" fillId="0" borderId="21" xfId="97" applyFont="1" applyBorder="1">
      <alignment/>
      <protection/>
    </xf>
    <xf numFmtId="3" fontId="46" fillId="0" borderId="19" xfId="97" applyNumberFormat="1" applyFont="1" applyBorder="1">
      <alignment/>
      <protection/>
    </xf>
    <xf numFmtId="3" fontId="46" fillId="0" borderId="40" xfId="97" applyNumberFormat="1" applyFont="1" applyBorder="1">
      <alignment/>
      <protection/>
    </xf>
    <xf numFmtId="3" fontId="46" fillId="0" borderId="18" xfId="97" applyNumberFormat="1" applyFont="1" applyBorder="1">
      <alignment/>
      <protection/>
    </xf>
    <xf numFmtId="0" fontId="47" fillId="0" borderId="0" xfId="97" applyFont="1">
      <alignment/>
      <protection/>
    </xf>
    <xf numFmtId="0" fontId="6" fillId="0" borderId="24" xfId="97" applyFont="1" applyBorder="1">
      <alignment/>
      <protection/>
    </xf>
    <xf numFmtId="3" fontId="6" fillId="0" borderId="25" xfId="97" applyNumberFormat="1" applyFont="1" applyBorder="1">
      <alignment/>
      <protection/>
    </xf>
    <xf numFmtId="3" fontId="6" fillId="0" borderId="31" xfId="97" applyNumberFormat="1" applyFont="1" applyBorder="1">
      <alignment/>
      <protection/>
    </xf>
    <xf numFmtId="3" fontId="6" fillId="0" borderId="38" xfId="97" applyNumberFormat="1" applyFont="1" applyBorder="1">
      <alignment/>
      <protection/>
    </xf>
    <xf numFmtId="0" fontId="10" fillId="0" borderId="22" xfId="97" applyFont="1" applyBorder="1" applyAlignment="1">
      <alignment vertical="top" wrapText="1"/>
      <protection/>
    </xf>
    <xf numFmtId="3" fontId="10" fillId="0" borderId="14" xfId="97" applyNumberFormat="1" applyFont="1" applyBorder="1" applyAlignment="1">
      <alignment horizontal="center"/>
      <protection/>
    </xf>
    <xf numFmtId="3" fontId="10" fillId="0" borderId="39" xfId="97" applyNumberFormat="1" applyFont="1" applyBorder="1" applyAlignment="1">
      <alignment horizontal="center"/>
      <protection/>
    </xf>
    <xf numFmtId="3" fontId="10" fillId="0" borderId="31" xfId="97" applyNumberFormat="1" applyFont="1" applyBorder="1">
      <alignment/>
      <protection/>
    </xf>
    <xf numFmtId="0" fontId="10" fillId="0" borderId="32" xfId="97" applyFont="1" applyBorder="1" applyAlignment="1">
      <alignment vertical="top" wrapText="1"/>
      <protection/>
    </xf>
    <xf numFmtId="3" fontId="6" fillId="0" borderId="22" xfId="97" applyNumberFormat="1" applyFont="1" applyBorder="1" applyAlignment="1">
      <alignment horizontal="left"/>
      <protection/>
    </xf>
    <xf numFmtId="3" fontId="10" fillId="0" borderId="24" xfId="97" applyNumberFormat="1" applyFont="1" applyBorder="1" applyAlignment="1">
      <alignment horizontal="left"/>
      <protection/>
    </xf>
    <xf numFmtId="3" fontId="26" fillId="0" borderId="0" xfId="97" applyNumberFormat="1" applyFont="1" applyAlignment="1">
      <alignment horizontal="left"/>
      <protection/>
    </xf>
    <xf numFmtId="3" fontId="48" fillId="0" borderId="0" xfId="97" applyNumberFormat="1" applyFont="1" applyAlignment="1">
      <alignment horizontal="left"/>
      <protection/>
    </xf>
    <xf numFmtId="3" fontId="46" fillId="0" borderId="26" xfId="97" applyNumberFormat="1" applyFont="1" applyBorder="1">
      <alignment/>
      <protection/>
    </xf>
    <xf numFmtId="3" fontId="6" fillId="0" borderId="33" xfId="97" applyNumberFormat="1" applyFont="1" applyBorder="1">
      <alignment/>
      <protection/>
    </xf>
    <xf numFmtId="0" fontId="49" fillId="0" borderId="0" xfId="0" applyFont="1" applyAlignment="1">
      <alignment/>
    </xf>
    <xf numFmtId="0" fontId="6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0" xfId="0" applyFont="1" applyAlignment="1">
      <alignment/>
    </xf>
    <xf numFmtId="0" fontId="51" fillId="0" borderId="0" xfId="0" applyFont="1" applyAlignment="1">
      <alignment/>
    </xf>
    <xf numFmtId="0" fontId="10" fillId="0" borderId="44" xfId="0" applyFont="1" applyBorder="1" applyAlignment="1">
      <alignment horizontal="center"/>
    </xf>
    <xf numFmtId="0" fontId="10" fillId="0" borderId="76" xfId="0" applyFont="1" applyBorder="1" applyAlignment="1">
      <alignment/>
    </xf>
    <xf numFmtId="0" fontId="6" fillId="0" borderId="22" xfId="0" applyFont="1" applyBorder="1" applyAlignment="1">
      <alignment horizontal="justify" vertical="top" wrapText="1"/>
    </xf>
    <xf numFmtId="2" fontId="6" fillId="0" borderId="14" xfId="0" applyNumberFormat="1" applyFont="1" applyBorder="1" applyAlignment="1">
      <alignment horizontal="center" vertical="top" wrapText="1"/>
    </xf>
    <xf numFmtId="2" fontId="6" fillId="0" borderId="45" xfId="0" applyNumberFormat="1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21" xfId="0" applyFont="1" applyBorder="1" applyAlignment="1">
      <alignment horizontal="justify" vertical="top" wrapText="1"/>
    </xf>
    <xf numFmtId="2" fontId="6" fillId="0" borderId="19" xfId="0" applyNumberFormat="1" applyFont="1" applyBorder="1" applyAlignment="1">
      <alignment horizontal="center" vertical="top" wrapText="1"/>
    </xf>
    <xf numFmtId="0" fontId="25" fillId="0" borderId="22" xfId="0" applyFont="1" applyBorder="1" applyAlignment="1">
      <alignment horizontal="justify" vertical="top" wrapText="1"/>
    </xf>
    <xf numFmtId="2" fontId="25" fillId="0" borderId="14" xfId="0" applyNumberFormat="1" applyFont="1" applyBorder="1" applyAlignment="1">
      <alignment horizontal="center" vertical="top" wrapText="1"/>
    </xf>
    <xf numFmtId="0" fontId="25" fillId="0" borderId="22" xfId="0" applyFont="1" applyBorder="1" applyAlignment="1">
      <alignment horizontal="left" vertical="center" wrapText="1"/>
    </xf>
    <xf numFmtId="2" fontId="25" fillId="0" borderId="25" xfId="0" applyNumberFormat="1" applyFont="1" applyBorder="1" applyAlignment="1">
      <alignment horizontal="center" vertical="top" wrapText="1"/>
    </xf>
    <xf numFmtId="0" fontId="6" fillId="0" borderId="38" xfId="0" applyFont="1" applyBorder="1" applyAlignment="1">
      <alignment horizontal="center"/>
    </xf>
    <xf numFmtId="0" fontId="46" fillId="0" borderId="22" xfId="0" applyFont="1" applyBorder="1" applyAlignment="1">
      <alignment horizontal="justify" vertical="top" wrapText="1"/>
    </xf>
    <xf numFmtId="2" fontId="46" fillId="0" borderId="14" xfId="0" applyNumberFormat="1" applyFont="1" applyBorder="1" applyAlignment="1">
      <alignment horizontal="center" vertical="top" wrapText="1"/>
    </xf>
    <xf numFmtId="2" fontId="46" fillId="0" borderId="15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/>
    </xf>
    <xf numFmtId="2" fontId="6" fillId="0" borderId="20" xfId="0" applyNumberFormat="1" applyFont="1" applyBorder="1" applyAlignment="1">
      <alignment horizontal="center" vertical="top" wrapText="1"/>
    </xf>
    <xf numFmtId="2" fontId="6" fillId="0" borderId="38" xfId="0" applyNumberFormat="1" applyFont="1" applyBorder="1" applyAlignment="1">
      <alignment horizontal="center"/>
    </xf>
    <xf numFmtId="2" fontId="46" fillId="0" borderId="54" xfId="0" applyNumberFormat="1" applyFont="1" applyBorder="1" applyAlignment="1">
      <alignment horizontal="center" vertical="top" wrapText="1"/>
    </xf>
    <xf numFmtId="2" fontId="46" fillId="0" borderId="45" xfId="0" applyNumberFormat="1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/>
    </xf>
    <xf numFmtId="2" fontId="6" fillId="0" borderId="25" xfId="0" applyNumberFormat="1" applyFont="1" applyBorder="1" applyAlignment="1">
      <alignment horizontal="center" vertical="top" wrapText="1"/>
    </xf>
    <xf numFmtId="0" fontId="46" fillId="0" borderId="0" xfId="0" applyFont="1" applyAlignment="1">
      <alignment/>
    </xf>
    <xf numFmtId="0" fontId="10" fillId="0" borderId="46" xfId="0" applyFont="1" applyBorder="1" applyAlignment="1">
      <alignment horizontal="justify" vertical="top" wrapText="1"/>
    </xf>
    <xf numFmtId="2" fontId="10" fillId="0" borderId="29" xfId="0" applyNumberFormat="1" applyFont="1" applyBorder="1" applyAlignment="1">
      <alignment horizontal="center" vertical="top" wrapText="1"/>
    </xf>
    <xf numFmtId="2" fontId="10" fillId="0" borderId="44" xfId="0" applyNumberFormat="1" applyFont="1" applyBorder="1" applyAlignment="1">
      <alignment horizontal="center" vertical="top" wrapText="1"/>
    </xf>
    <xf numFmtId="0" fontId="52" fillId="0" borderId="0" xfId="0" applyFont="1" applyAlignment="1">
      <alignment horizontal="justify"/>
    </xf>
    <xf numFmtId="165" fontId="6" fillId="0" borderId="0" xfId="0" applyNumberFormat="1" applyFont="1" applyAlignment="1">
      <alignment/>
    </xf>
    <xf numFmtId="0" fontId="50" fillId="0" borderId="0" xfId="0" applyFont="1" applyAlignment="1">
      <alignment horizontal="justify"/>
    </xf>
    <xf numFmtId="0" fontId="10" fillId="0" borderId="3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6" fillId="0" borderId="22" xfId="0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33" xfId="0" applyFont="1" applyBorder="1" applyAlignment="1">
      <alignment/>
    </xf>
    <xf numFmtId="0" fontId="6" fillId="0" borderId="21" xfId="0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0" fontId="10" fillId="0" borderId="24" xfId="0" applyFont="1" applyBorder="1" applyAlignment="1">
      <alignment/>
    </xf>
    <xf numFmtId="2" fontId="10" fillId="0" borderId="73" xfId="0" applyNumberFormat="1" applyFont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27" xfId="0" applyFont="1" applyBorder="1" applyAlignment="1">
      <alignment/>
    </xf>
    <xf numFmtId="0" fontId="10" fillId="0" borderId="0" xfId="0" applyFont="1" applyAlignment="1">
      <alignment/>
    </xf>
    <xf numFmtId="2" fontId="6" fillId="0" borderId="43" xfId="0" applyNumberFormat="1" applyFont="1" applyBorder="1" applyAlignment="1">
      <alignment/>
    </xf>
    <xf numFmtId="2" fontId="6" fillId="0" borderId="26" xfId="0" applyNumberFormat="1" applyFont="1" applyBorder="1" applyAlignment="1">
      <alignment/>
    </xf>
    <xf numFmtId="2" fontId="6" fillId="0" borderId="27" xfId="0" applyNumberFormat="1" applyFont="1" applyBorder="1" applyAlignment="1">
      <alignment/>
    </xf>
    <xf numFmtId="2" fontId="46" fillId="0" borderId="43" xfId="0" applyNumberFormat="1" applyFont="1" applyBorder="1" applyAlignment="1">
      <alignment/>
    </xf>
    <xf numFmtId="2" fontId="10" fillId="0" borderId="55" xfId="0" applyNumberFormat="1" applyFont="1" applyBorder="1" applyAlignment="1">
      <alignment/>
    </xf>
    <xf numFmtId="2" fontId="10" fillId="0" borderId="43" xfId="0" applyNumberFormat="1" applyFont="1" applyBorder="1" applyAlignment="1">
      <alignment/>
    </xf>
    <xf numFmtId="0" fontId="6" fillId="0" borderId="0" xfId="96" applyFont="1" applyAlignment="1">
      <alignment horizontal="right"/>
      <protection/>
    </xf>
    <xf numFmtId="0" fontId="6" fillId="0" borderId="0" xfId="96" applyFont="1">
      <alignment/>
      <protection/>
    </xf>
    <xf numFmtId="0" fontId="53" fillId="0" borderId="0" xfId="96" applyFont="1" applyAlignment="1">
      <alignment horizontal="center"/>
      <protection/>
    </xf>
    <xf numFmtId="0" fontId="6" fillId="0" borderId="0" xfId="96" applyFont="1" applyAlignment="1">
      <alignment horizontal="center"/>
      <protection/>
    </xf>
    <xf numFmtId="3" fontId="6" fillId="0" borderId="0" xfId="96" applyNumberFormat="1" applyFont="1" applyAlignment="1">
      <alignment horizontal="right"/>
      <protection/>
    </xf>
    <xf numFmtId="3" fontId="6" fillId="0" borderId="0" xfId="96" applyNumberFormat="1" applyFont="1">
      <alignment/>
      <protection/>
    </xf>
    <xf numFmtId="3" fontId="10" fillId="0" borderId="0" xfId="96" applyNumberFormat="1" applyFont="1" applyAlignment="1">
      <alignment horizontal="right"/>
      <protection/>
    </xf>
    <xf numFmtId="0" fontId="6" fillId="0" borderId="77" xfId="96" applyFont="1" applyBorder="1" applyAlignment="1">
      <alignment horizontal="center" vertical="center"/>
      <protection/>
    </xf>
    <xf numFmtId="0" fontId="6" fillId="0" borderId="78" xfId="96" applyFont="1" applyBorder="1" applyAlignment="1">
      <alignment horizontal="left" vertical="center"/>
      <protection/>
    </xf>
    <xf numFmtId="0" fontId="53" fillId="0" borderId="77" xfId="96" applyFont="1" applyBorder="1">
      <alignment/>
      <protection/>
    </xf>
    <xf numFmtId="0" fontId="10" fillId="0" borderId="79" xfId="92" applyFont="1" applyBorder="1" applyAlignment="1">
      <alignment horizontal="center" vertical="center"/>
      <protection/>
    </xf>
    <xf numFmtId="0" fontId="10" fillId="0" borderId="79" xfId="96" applyFont="1" applyBorder="1" applyAlignment="1">
      <alignment horizontal="center" vertical="center"/>
      <protection/>
    </xf>
    <xf numFmtId="0" fontId="10" fillId="0" borderId="79" xfId="96" applyFont="1" applyBorder="1" applyAlignment="1">
      <alignment horizontal="center" vertical="center" wrapText="1"/>
      <protection/>
    </xf>
    <xf numFmtId="3" fontId="10" fillId="0" borderId="80" xfId="96" applyNumberFormat="1" applyFont="1" applyBorder="1" applyAlignment="1">
      <alignment horizontal="center" vertical="center" wrapText="1"/>
      <protection/>
    </xf>
    <xf numFmtId="0" fontId="10" fillId="0" borderId="61" xfId="96" applyFont="1" applyBorder="1" applyAlignment="1">
      <alignment horizontal="center" vertical="center"/>
      <protection/>
    </xf>
    <xf numFmtId="0" fontId="10" fillId="0" borderId="67" xfId="96" applyFont="1" applyBorder="1" applyAlignment="1">
      <alignment horizontal="center" vertical="center"/>
      <protection/>
    </xf>
    <xf numFmtId="0" fontId="53" fillId="0" borderId="63" xfId="96" applyFont="1" applyBorder="1">
      <alignment/>
      <protection/>
    </xf>
    <xf numFmtId="0" fontId="10" fillId="0" borderId="57" xfId="92" applyFont="1" applyBorder="1" applyAlignment="1">
      <alignment horizontal="center" vertical="center"/>
      <protection/>
    </xf>
    <xf numFmtId="0" fontId="10" fillId="0" borderId="57" xfId="96" applyFont="1" applyBorder="1" applyAlignment="1">
      <alignment horizontal="right" vertical="center"/>
      <protection/>
    </xf>
    <xf numFmtId="0" fontId="10" fillId="0" borderId="57" xfId="96" applyFont="1" applyBorder="1" applyAlignment="1">
      <alignment horizontal="center" vertical="center" wrapText="1"/>
      <protection/>
    </xf>
    <xf numFmtId="0" fontId="6" fillId="0" borderId="57" xfId="96" applyFont="1" applyBorder="1" applyAlignment="1">
      <alignment horizontal="right" vertical="center" wrapText="1"/>
      <protection/>
    </xf>
    <xf numFmtId="0" fontId="10" fillId="0" borderId="57" xfId="96" applyFont="1" applyBorder="1" applyAlignment="1">
      <alignment horizontal="center" vertical="center"/>
      <protection/>
    </xf>
    <xf numFmtId="3" fontId="10" fillId="0" borderId="70" xfId="96" applyNumberFormat="1" applyFont="1" applyBorder="1" applyAlignment="1">
      <alignment horizontal="center" vertical="center" wrapText="1"/>
      <protection/>
    </xf>
    <xf numFmtId="49" fontId="6" fillId="0" borderId="61" xfId="96" applyNumberFormat="1" applyFont="1" applyBorder="1" applyAlignment="1">
      <alignment horizontal="center"/>
      <protection/>
    </xf>
    <xf numFmtId="0" fontId="6" fillId="0" borderId="67" xfId="96" applyFont="1" applyBorder="1" applyAlignment="1">
      <alignment/>
      <protection/>
    </xf>
    <xf numFmtId="3" fontId="10" fillId="0" borderId="57" xfId="96" applyNumberFormat="1" applyFont="1" applyBorder="1">
      <alignment/>
      <protection/>
    </xf>
    <xf numFmtId="3" fontId="10" fillId="0" borderId="57" xfId="96" applyNumberFormat="1" applyFont="1" applyBorder="1">
      <alignment/>
      <protection/>
    </xf>
    <xf numFmtId="3" fontId="6" fillId="0" borderId="57" xfId="96" applyNumberFormat="1" applyFont="1" applyBorder="1">
      <alignment/>
      <protection/>
    </xf>
    <xf numFmtId="3" fontId="6" fillId="0" borderId="70" xfId="96" applyNumberFormat="1" applyFont="1" applyBorder="1">
      <alignment/>
      <protection/>
    </xf>
    <xf numFmtId="49" fontId="6" fillId="0" borderId="63" xfId="96" applyNumberFormat="1" applyFont="1" applyBorder="1" applyAlignment="1">
      <alignment horizontal="center"/>
      <protection/>
    </xf>
    <xf numFmtId="0" fontId="6" fillId="0" borderId="68" xfId="96" applyFont="1" applyBorder="1" applyAlignment="1">
      <alignment/>
      <protection/>
    </xf>
    <xf numFmtId="1" fontId="6" fillId="0" borderId="63" xfId="96" applyNumberFormat="1" applyFont="1" applyBorder="1" applyAlignment="1">
      <alignment horizontal="center"/>
      <protection/>
    </xf>
    <xf numFmtId="0" fontId="6" fillId="0" borderId="68" xfId="96" applyFont="1" applyBorder="1" applyAlignment="1">
      <alignment horizontal="left"/>
      <protection/>
    </xf>
    <xf numFmtId="3" fontId="6" fillId="0" borderId="57" xfId="96" applyNumberFormat="1" applyFont="1" applyBorder="1" applyAlignment="1">
      <alignment horizontal="right"/>
      <protection/>
    </xf>
    <xf numFmtId="0" fontId="6" fillId="0" borderId="57" xfId="96" applyFont="1" applyBorder="1" applyAlignment="1">
      <alignment horizontal="right"/>
      <protection/>
    </xf>
    <xf numFmtId="3" fontId="6" fillId="0" borderId="70" xfId="96" applyNumberFormat="1" applyFont="1" applyBorder="1" applyAlignment="1">
      <alignment horizontal="right"/>
      <protection/>
    </xf>
    <xf numFmtId="0" fontId="53" fillId="0" borderId="0" xfId="96" applyFont="1">
      <alignment/>
      <protection/>
    </xf>
    <xf numFmtId="0" fontId="53" fillId="0" borderId="0" xfId="96" applyFont="1" applyBorder="1">
      <alignment/>
      <protection/>
    </xf>
    <xf numFmtId="3" fontId="6" fillId="0" borderId="57" xfId="96" applyNumberFormat="1" applyFont="1" applyBorder="1">
      <alignment/>
      <protection/>
    </xf>
    <xf numFmtId="0" fontId="49" fillId="0" borderId="63" xfId="96" applyFont="1" applyBorder="1">
      <alignment/>
      <protection/>
    </xf>
    <xf numFmtId="3" fontId="10" fillId="0" borderId="70" xfId="96" applyNumberFormat="1" applyFont="1" applyBorder="1">
      <alignment/>
      <protection/>
    </xf>
    <xf numFmtId="0" fontId="49" fillId="0" borderId="81" xfId="96" applyFont="1" applyBorder="1">
      <alignment/>
      <protection/>
    </xf>
    <xf numFmtId="3" fontId="10" fillId="0" borderId="82" xfId="96" applyNumberFormat="1" applyFont="1" applyBorder="1" applyAlignment="1">
      <alignment horizontal="center"/>
      <protection/>
    </xf>
    <xf numFmtId="3" fontId="10" fillId="0" borderId="82" xfId="96" applyNumberFormat="1" applyFont="1" applyBorder="1">
      <alignment/>
      <protection/>
    </xf>
    <xf numFmtId="3" fontId="10" fillId="0" borderId="83" xfId="96" applyNumberFormat="1" applyFont="1" applyBorder="1">
      <alignment/>
      <protection/>
    </xf>
    <xf numFmtId="0" fontId="49" fillId="0" borderId="64" xfId="96" applyFont="1" applyBorder="1">
      <alignment/>
      <protection/>
    </xf>
    <xf numFmtId="0" fontId="6" fillId="0" borderId="65" xfId="96" applyFont="1" applyBorder="1">
      <alignment/>
      <protection/>
    </xf>
    <xf numFmtId="0" fontId="6" fillId="0" borderId="72" xfId="96" applyFont="1" applyBorder="1">
      <alignment/>
      <protection/>
    </xf>
    <xf numFmtId="1" fontId="6" fillId="0" borderId="77" xfId="96" applyNumberFormat="1" applyFont="1" applyBorder="1" applyAlignment="1">
      <alignment horizontal="center"/>
      <protection/>
    </xf>
    <xf numFmtId="0" fontId="6" fillId="0" borderId="79" xfId="96" applyFont="1" applyBorder="1" applyAlignment="1">
      <alignment/>
      <protection/>
    </xf>
    <xf numFmtId="0" fontId="53" fillId="0" borderId="79" xfId="96" applyFont="1" applyBorder="1">
      <alignment/>
      <protection/>
    </xf>
    <xf numFmtId="3" fontId="6" fillId="0" borderId="79" xfId="96" applyNumberFormat="1" applyFont="1" applyBorder="1">
      <alignment/>
      <protection/>
    </xf>
    <xf numFmtId="3" fontId="6" fillId="0" borderId="80" xfId="96" applyNumberFormat="1" applyFont="1" applyBorder="1">
      <alignment/>
      <protection/>
    </xf>
    <xf numFmtId="0" fontId="6" fillId="0" borderId="57" xfId="96" applyFont="1" applyBorder="1" applyAlignment="1">
      <alignment/>
      <protection/>
    </xf>
    <xf numFmtId="0" fontId="53" fillId="0" borderId="57" xfId="96" applyFont="1" applyBorder="1">
      <alignment/>
      <protection/>
    </xf>
    <xf numFmtId="0" fontId="49" fillId="0" borderId="57" xfId="96" applyFont="1" applyBorder="1">
      <alignment/>
      <protection/>
    </xf>
    <xf numFmtId="3" fontId="10" fillId="0" borderId="57" xfId="96" applyNumberFormat="1" applyFont="1" applyBorder="1" applyAlignment="1">
      <alignment horizontal="right"/>
      <protection/>
    </xf>
    <xf numFmtId="3" fontId="10" fillId="0" borderId="70" xfId="96" applyNumberFormat="1" applyFont="1" applyBorder="1" applyAlignment="1">
      <alignment horizontal="right"/>
      <protection/>
    </xf>
    <xf numFmtId="0" fontId="49" fillId="0" borderId="57" xfId="96" applyFont="1" applyBorder="1">
      <alignment/>
      <protection/>
    </xf>
    <xf numFmtId="0" fontId="49" fillId="0" borderId="65" xfId="96" applyFont="1" applyBorder="1" applyAlignment="1">
      <alignment horizontal="center"/>
      <protection/>
    </xf>
    <xf numFmtId="3" fontId="10" fillId="0" borderId="65" xfId="96" applyNumberFormat="1" applyFont="1" applyBorder="1" applyAlignment="1">
      <alignment horizontal="right"/>
      <protection/>
    </xf>
    <xf numFmtId="3" fontId="10" fillId="0" borderId="65" xfId="96" applyNumberFormat="1" applyFont="1" applyBorder="1">
      <alignment/>
      <protection/>
    </xf>
    <xf numFmtId="3" fontId="6" fillId="0" borderId="65" xfId="96" applyNumberFormat="1" applyFont="1" applyBorder="1" applyAlignment="1">
      <alignment horizontal="right"/>
      <protection/>
    </xf>
    <xf numFmtId="3" fontId="6" fillId="0" borderId="72" xfId="96" applyNumberFormat="1" applyFont="1" applyBorder="1" applyAlignment="1">
      <alignment horizontal="right"/>
      <protection/>
    </xf>
    <xf numFmtId="0" fontId="53" fillId="0" borderId="0" xfId="96" applyFont="1">
      <alignment/>
      <protection/>
    </xf>
    <xf numFmtId="1" fontId="53" fillId="0" borderId="77" xfId="96" applyNumberFormat="1" applyFont="1" applyBorder="1" applyAlignment="1">
      <alignment horizontal="center"/>
      <protection/>
    </xf>
    <xf numFmtId="0" fontId="53" fillId="0" borderId="79" xfId="96" applyFont="1" applyBorder="1" applyAlignment="1">
      <alignment/>
      <protection/>
    </xf>
    <xf numFmtId="0" fontId="53" fillId="0" borderId="79" xfId="96" applyFont="1" applyBorder="1">
      <alignment/>
      <protection/>
    </xf>
    <xf numFmtId="3" fontId="53" fillId="0" borderId="79" xfId="96" applyNumberFormat="1" applyFont="1" applyBorder="1">
      <alignment/>
      <protection/>
    </xf>
    <xf numFmtId="3" fontId="53" fillId="0" borderId="80" xfId="96" applyNumberFormat="1" applyFont="1" applyBorder="1">
      <alignment/>
      <protection/>
    </xf>
    <xf numFmtId="1" fontId="53" fillId="0" borderId="63" xfId="96" applyNumberFormat="1" applyFont="1" applyBorder="1" applyAlignment="1">
      <alignment horizontal="center"/>
      <protection/>
    </xf>
    <xf numFmtId="0" fontId="53" fillId="0" borderId="57" xfId="96" applyFont="1" applyBorder="1" applyAlignment="1">
      <alignment/>
      <protection/>
    </xf>
    <xf numFmtId="0" fontId="53" fillId="0" borderId="57" xfId="96" applyFont="1" applyBorder="1">
      <alignment/>
      <protection/>
    </xf>
    <xf numFmtId="3" fontId="53" fillId="0" borderId="57" xfId="96" applyNumberFormat="1" applyFont="1" applyBorder="1">
      <alignment/>
      <protection/>
    </xf>
    <xf numFmtId="3" fontId="53" fillId="0" borderId="70" xfId="96" applyNumberFormat="1" applyFont="1" applyBorder="1">
      <alignment/>
      <protection/>
    </xf>
    <xf numFmtId="3" fontId="49" fillId="0" borderId="57" xfId="96" applyNumberFormat="1" applyFont="1" applyBorder="1">
      <alignment/>
      <protection/>
    </xf>
    <xf numFmtId="3" fontId="49" fillId="0" borderId="57" xfId="96" applyNumberFormat="1" applyFont="1" applyBorder="1" applyAlignment="1">
      <alignment horizontal="right"/>
      <protection/>
    </xf>
    <xf numFmtId="3" fontId="49" fillId="0" borderId="70" xfId="96" applyNumberFormat="1" applyFont="1" applyBorder="1" applyAlignment="1">
      <alignment horizontal="right"/>
      <protection/>
    </xf>
    <xf numFmtId="0" fontId="49" fillId="0" borderId="82" xfId="96" applyFont="1" applyBorder="1">
      <alignment/>
      <protection/>
    </xf>
    <xf numFmtId="3" fontId="49" fillId="0" borderId="82" xfId="0" applyNumberFormat="1" applyFont="1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49" fillId="0" borderId="65" xfId="96" applyFont="1" applyBorder="1">
      <alignment/>
      <protection/>
    </xf>
    <xf numFmtId="0" fontId="0" fillId="0" borderId="65" xfId="0" applyBorder="1" applyAlignment="1">
      <alignment/>
    </xf>
    <xf numFmtId="0" fontId="0" fillId="0" borderId="72" xfId="0" applyBorder="1" applyAlignment="1">
      <alignment/>
    </xf>
    <xf numFmtId="3" fontId="10" fillId="0" borderId="65" xfId="96" applyNumberFormat="1" applyFont="1" applyBorder="1" applyAlignment="1">
      <alignment horizontal="center"/>
      <protection/>
    </xf>
    <xf numFmtId="3" fontId="49" fillId="0" borderId="65" xfId="0" applyNumberFormat="1" applyFont="1" applyBorder="1" applyAlignment="1">
      <alignment/>
    </xf>
    <xf numFmtId="3" fontId="25" fillId="0" borderId="63" xfId="93" applyNumberFormat="1" applyFont="1" applyBorder="1" quotePrefix="1">
      <alignment/>
      <protection/>
    </xf>
    <xf numFmtId="49" fontId="6" fillId="0" borderId="77" xfId="96" applyNumberFormat="1" applyFont="1" applyBorder="1" applyAlignment="1">
      <alignment horizontal="center"/>
      <protection/>
    </xf>
    <xf numFmtId="0" fontId="6" fillId="0" borderId="78" xfId="96" applyFont="1" applyBorder="1" applyAlignment="1">
      <alignment/>
      <protection/>
    </xf>
    <xf numFmtId="0" fontId="53" fillId="0" borderId="84" xfId="96" applyFont="1" applyBorder="1" applyAlignment="1">
      <alignment horizontal="left"/>
      <protection/>
    </xf>
    <xf numFmtId="3" fontId="10" fillId="0" borderId="77" xfId="96" applyNumberFormat="1" applyFont="1" applyBorder="1">
      <alignment/>
      <protection/>
    </xf>
    <xf numFmtId="3" fontId="10" fillId="0" borderId="79" xfId="96" applyNumberFormat="1" applyFont="1" applyBorder="1">
      <alignment/>
      <protection/>
    </xf>
    <xf numFmtId="0" fontId="1" fillId="0" borderId="85" xfId="0" applyFont="1" applyBorder="1" applyAlignment="1">
      <alignment horizontal="left" vertical="center" wrapText="1"/>
    </xf>
    <xf numFmtId="3" fontId="10" fillId="0" borderId="63" xfId="96" applyNumberFormat="1" applyFont="1" applyBorder="1">
      <alignment/>
      <protection/>
    </xf>
    <xf numFmtId="0" fontId="53" fillId="0" borderId="85" xfId="96" applyFont="1" applyBorder="1" applyAlignment="1">
      <alignment horizontal="left"/>
      <protection/>
    </xf>
    <xf numFmtId="1" fontId="6" fillId="0" borderId="63" xfId="92" applyNumberFormat="1" applyFont="1" applyBorder="1" applyAlignment="1">
      <alignment horizontal="center" vertical="center"/>
      <protection/>
    </xf>
    <xf numFmtId="0" fontId="6" fillId="0" borderId="68" xfId="92" applyFont="1" applyBorder="1" applyAlignment="1">
      <alignment horizontal="left" vertical="center"/>
      <protection/>
    </xf>
    <xf numFmtId="0" fontId="53" fillId="0" borderId="86" xfId="96" applyFont="1" applyBorder="1">
      <alignment/>
      <protection/>
    </xf>
    <xf numFmtId="0" fontId="6" fillId="0" borderId="68" xfId="96" applyFont="1" applyBorder="1" applyAlignment="1">
      <alignment wrapText="1"/>
      <protection/>
    </xf>
    <xf numFmtId="0" fontId="6" fillId="0" borderId="0" xfId="96" applyFont="1" applyBorder="1">
      <alignment/>
      <protection/>
    </xf>
    <xf numFmtId="0" fontId="10" fillId="0" borderId="63" xfId="96" applyFont="1" applyBorder="1" applyAlignment="1">
      <alignment horizontal="left"/>
      <protection/>
    </xf>
    <xf numFmtId="0" fontId="7" fillId="0" borderId="68" xfId="92" applyFont="1" applyBorder="1" applyAlignment="1">
      <alignment horizontal="left"/>
      <protection/>
    </xf>
    <xf numFmtId="3" fontId="6" fillId="0" borderId="57" xfId="96" applyNumberFormat="1" applyFont="1" applyBorder="1" applyAlignment="1">
      <alignment horizontal="right"/>
      <protection/>
    </xf>
    <xf numFmtId="3" fontId="6" fillId="0" borderId="70" xfId="96" applyNumberFormat="1" applyFont="1" applyBorder="1" applyAlignment="1">
      <alignment horizontal="right"/>
      <protection/>
    </xf>
    <xf numFmtId="0" fontId="49" fillId="0" borderId="85" xfId="96" applyFont="1" applyBorder="1" applyAlignment="1">
      <alignment horizontal="left"/>
      <protection/>
    </xf>
    <xf numFmtId="3" fontId="10" fillId="0" borderId="63" xfId="96" applyNumberFormat="1" applyFont="1" applyBorder="1" applyAlignment="1" quotePrefix="1">
      <alignment horizontal="right"/>
      <protection/>
    </xf>
    <xf numFmtId="3" fontId="10" fillId="0" borderId="57" xfId="96" applyNumberFormat="1" applyFont="1" applyBorder="1" applyAlignment="1" quotePrefix="1">
      <alignment horizontal="right"/>
      <protection/>
    </xf>
    <xf numFmtId="0" fontId="2" fillId="0" borderId="87" xfId="0" applyFont="1" applyBorder="1" applyAlignment="1">
      <alignment horizontal="left" vertical="center" wrapText="1"/>
    </xf>
    <xf numFmtId="3" fontId="10" fillId="0" borderId="88" xfId="96" applyNumberFormat="1" applyFont="1" applyBorder="1" applyAlignment="1" quotePrefix="1">
      <alignment horizontal="right"/>
      <protection/>
    </xf>
    <xf numFmtId="3" fontId="10" fillId="0" borderId="82" xfId="96" applyNumberFormat="1" applyFont="1" applyBorder="1" applyAlignment="1">
      <alignment horizontal="right"/>
      <protection/>
    </xf>
    <xf numFmtId="3" fontId="10" fillId="0" borderId="83" xfId="96" applyNumberFormat="1" applyFont="1" applyBorder="1" applyAlignment="1">
      <alignment horizontal="right"/>
      <protection/>
    </xf>
    <xf numFmtId="0" fontId="2" fillId="0" borderId="89" xfId="0" applyFont="1" applyBorder="1" applyAlignment="1">
      <alignment horizontal="left" wrapText="1"/>
    </xf>
    <xf numFmtId="0" fontId="6" fillId="0" borderId="72" xfId="96" applyFont="1" applyBorder="1" applyAlignment="1">
      <alignment horizontal="right"/>
      <protection/>
    </xf>
    <xf numFmtId="3" fontId="10" fillId="0" borderId="64" xfId="96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0" fontId="2" fillId="0" borderId="32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left" vertical="center" wrapText="1"/>
    </xf>
    <xf numFmtId="3" fontId="1" fillId="0" borderId="54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/>
    </xf>
    <xf numFmtId="0" fontId="1" fillId="0" borderId="21" xfId="0" applyFont="1" applyBorder="1" applyAlignment="1">
      <alignment vertical="top" wrapText="1"/>
    </xf>
    <xf numFmtId="3" fontId="1" fillId="0" borderId="19" xfId="0" applyNumberFormat="1" applyFont="1" applyBorder="1" applyAlignment="1">
      <alignment horizontal="right"/>
    </xf>
    <xf numFmtId="3" fontId="6" fillId="0" borderId="18" xfId="0" applyNumberFormat="1" applyFont="1" applyBorder="1" applyAlignment="1">
      <alignment/>
    </xf>
    <xf numFmtId="0" fontId="2" fillId="0" borderId="21" xfId="0" applyFont="1" applyBorder="1" applyAlignment="1">
      <alignment vertical="top" wrapText="1"/>
    </xf>
    <xf numFmtId="3" fontId="2" fillId="0" borderId="19" xfId="0" applyNumberFormat="1" applyFont="1" applyBorder="1" applyAlignment="1">
      <alignment horizontal="right"/>
    </xf>
    <xf numFmtId="3" fontId="10" fillId="0" borderId="18" xfId="0" applyNumberFormat="1" applyFont="1" applyBorder="1" applyAlignment="1">
      <alignment horizontal="right"/>
    </xf>
    <xf numFmtId="0" fontId="17" fillId="0" borderId="21" xfId="0" applyFont="1" applyBorder="1" applyAlignment="1">
      <alignment vertical="top" wrapText="1"/>
    </xf>
    <xf numFmtId="3" fontId="17" fillId="0" borderId="19" xfId="0" applyNumberFormat="1" applyFont="1" applyBorder="1" applyAlignment="1">
      <alignment horizontal="right"/>
    </xf>
    <xf numFmtId="0" fontId="6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17" fillId="0" borderId="24" xfId="0" applyFont="1" applyBorder="1" applyAlignment="1">
      <alignment/>
    </xf>
    <xf numFmtId="3" fontId="17" fillId="0" borderId="25" xfId="0" applyNumberFormat="1" applyFont="1" applyBorder="1" applyAlignment="1">
      <alignment horizontal="right"/>
    </xf>
    <xf numFmtId="3" fontId="46" fillId="0" borderId="38" xfId="0" applyNumberFormat="1" applyFont="1" applyBorder="1" applyAlignment="1">
      <alignment horizontal="right"/>
    </xf>
    <xf numFmtId="3" fontId="6" fillId="0" borderId="0" xfId="0" applyNumberFormat="1" applyFont="1" applyAlignment="1">
      <alignment/>
    </xf>
    <xf numFmtId="3" fontId="10" fillId="0" borderId="75" xfId="97" applyNumberFormat="1" applyFont="1" applyBorder="1" applyAlignment="1">
      <alignment horizontal="center" vertical="center"/>
      <protection/>
    </xf>
    <xf numFmtId="3" fontId="10" fillId="0" borderId="73" xfId="97" applyNumberFormat="1" applyFont="1" applyBorder="1" applyAlignment="1">
      <alignment horizontal="center" vertical="center" wrapText="1"/>
      <protection/>
    </xf>
    <xf numFmtId="3" fontId="2" fillId="0" borderId="90" xfId="0" applyNumberFormat="1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3" fontId="10" fillId="0" borderId="75" xfId="0" applyNumberFormat="1" applyFont="1" applyBorder="1" applyAlignment="1">
      <alignment horizontal="center" vertical="center" wrapText="1"/>
    </xf>
    <xf numFmtId="3" fontId="10" fillId="0" borderId="76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left" vertical="center" wrapText="1"/>
    </xf>
    <xf numFmtId="3" fontId="1" fillId="0" borderId="14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3" fontId="1" fillId="0" borderId="34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3" fontId="1" fillId="0" borderId="18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3" fontId="6" fillId="0" borderId="19" xfId="0" applyNumberFormat="1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2" fillId="0" borderId="35" xfId="0" applyNumberFormat="1" applyFont="1" applyBorder="1" applyAlignment="1">
      <alignment horizontal="right"/>
    </xf>
    <xf numFmtId="3" fontId="10" fillId="0" borderId="19" xfId="0" applyNumberFormat="1" applyFont="1" applyBorder="1" applyAlignment="1">
      <alignment/>
    </xf>
    <xf numFmtId="3" fontId="10" fillId="0" borderId="18" xfId="0" applyNumberFormat="1" applyFont="1" applyBorder="1" applyAlignment="1">
      <alignment/>
    </xf>
    <xf numFmtId="3" fontId="17" fillId="0" borderId="18" xfId="0" applyNumberFormat="1" applyFont="1" applyBorder="1" applyAlignment="1">
      <alignment horizontal="right"/>
    </xf>
    <xf numFmtId="3" fontId="17" fillId="0" borderId="38" xfId="0" applyNumberFormat="1" applyFont="1" applyBorder="1" applyAlignment="1">
      <alignment horizontal="right"/>
    </xf>
    <xf numFmtId="3" fontId="17" fillId="0" borderId="36" xfId="0" applyNumberFormat="1" applyFont="1" applyBorder="1" applyAlignment="1">
      <alignment horizontal="right"/>
    </xf>
    <xf numFmtId="3" fontId="6" fillId="0" borderId="43" xfId="0" applyNumberFormat="1" applyFont="1" applyBorder="1" applyAlignment="1">
      <alignment/>
    </xf>
    <xf numFmtId="3" fontId="6" fillId="0" borderId="26" xfId="0" applyNumberFormat="1" applyFont="1" applyBorder="1" applyAlignment="1">
      <alignment/>
    </xf>
    <xf numFmtId="3" fontId="46" fillId="0" borderId="27" xfId="0" applyNumberFormat="1" applyFont="1" applyBorder="1" applyAlignment="1">
      <alignment/>
    </xf>
    <xf numFmtId="3" fontId="10" fillId="0" borderId="26" xfId="0" applyNumberFormat="1" applyFont="1" applyBorder="1" applyAlignment="1">
      <alignment/>
    </xf>
    <xf numFmtId="0" fontId="6" fillId="0" borderId="0" xfId="97" applyFont="1" applyAlignment="1">
      <alignment horizontal="center"/>
      <protection/>
    </xf>
    <xf numFmtId="0" fontId="10" fillId="0" borderId="32" xfId="97" applyFont="1" applyBorder="1">
      <alignment/>
      <protection/>
    </xf>
    <xf numFmtId="3" fontId="10" fillId="0" borderId="73" xfId="97" applyNumberFormat="1" applyFont="1" applyBorder="1" applyAlignment="1">
      <alignment horizontal="center" vertical="center"/>
      <protection/>
    </xf>
    <xf numFmtId="0" fontId="10" fillId="0" borderId="76" xfId="97" applyFont="1" applyBorder="1" applyAlignment="1">
      <alignment horizontal="center"/>
      <protection/>
    </xf>
    <xf numFmtId="0" fontId="6" fillId="0" borderId="45" xfId="97" applyFont="1" applyBorder="1" applyAlignment="1">
      <alignment horizontal="center"/>
      <protection/>
    </xf>
    <xf numFmtId="0" fontId="6" fillId="0" borderId="43" xfId="97" applyFont="1" applyBorder="1" applyAlignment="1">
      <alignment horizontal="center"/>
      <protection/>
    </xf>
    <xf numFmtId="3" fontId="10" fillId="0" borderId="18" xfId="97" applyNumberFormat="1" applyFont="1" applyBorder="1" applyAlignment="1">
      <alignment horizontal="right"/>
      <protection/>
    </xf>
    <xf numFmtId="3" fontId="10" fillId="0" borderId="26" xfId="97" applyNumberFormat="1" applyFont="1" applyBorder="1" applyAlignment="1">
      <alignment horizontal="right"/>
      <protection/>
    </xf>
    <xf numFmtId="3" fontId="6" fillId="0" borderId="18" xfId="97" applyNumberFormat="1" applyFont="1" applyBorder="1" applyAlignment="1">
      <alignment horizontal="right"/>
      <protection/>
    </xf>
    <xf numFmtId="3" fontId="6" fillId="0" borderId="26" xfId="97" applyNumberFormat="1" applyFont="1" applyBorder="1" applyAlignment="1">
      <alignment horizontal="right"/>
      <protection/>
    </xf>
    <xf numFmtId="0" fontId="10" fillId="0" borderId="21" xfId="97" applyFont="1" applyBorder="1" applyAlignment="1">
      <alignment wrapText="1"/>
      <protection/>
    </xf>
    <xf numFmtId="0" fontId="26" fillId="0" borderId="0" xfId="97" applyFont="1">
      <alignment/>
      <protection/>
    </xf>
    <xf numFmtId="3" fontId="10" fillId="0" borderId="26" xfId="97" applyNumberFormat="1" applyFont="1" applyBorder="1">
      <alignment/>
      <protection/>
    </xf>
    <xf numFmtId="0" fontId="6" fillId="0" borderId="21" xfId="0" applyFont="1" applyBorder="1" applyAlignment="1">
      <alignment/>
    </xf>
    <xf numFmtId="0" fontId="19" fillId="0" borderId="0" xfId="97" applyFont="1">
      <alignment/>
      <protection/>
    </xf>
    <xf numFmtId="3" fontId="45" fillId="0" borderId="38" xfId="97" applyNumberFormat="1" applyFont="1" applyBorder="1" applyAlignment="1">
      <alignment horizontal="right"/>
      <protection/>
    </xf>
    <xf numFmtId="3" fontId="45" fillId="0" borderId="27" xfId="97" applyNumberFormat="1" applyFont="1" applyBorder="1" applyAlignment="1">
      <alignment horizontal="right"/>
      <protection/>
    </xf>
    <xf numFmtId="0" fontId="48" fillId="0" borderId="0" xfId="97" applyFont="1">
      <alignment/>
      <protection/>
    </xf>
    <xf numFmtId="0" fontId="19" fillId="0" borderId="0" xfId="97" applyBorder="1">
      <alignment/>
      <protection/>
    </xf>
    <xf numFmtId="3" fontId="19" fillId="0" borderId="0" xfId="97" applyNumberFormat="1" applyBorder="1">
      <alignment/>
      <protection/>
    </xf>
    <xf numFmtId="3" fontId="6" fillId="0" borderId="0" xfId="97" applyNumberFormat="1" applyFont="1" applyAlignment="1">
      <alignment horizontal="right"/>
      <protection/>
    </xf>
    <xf numFmtId="3" fontId="19" fillId="0" borderId="0" xfId="97" applyNumberFormat="1" applyBorder="1" applyAlignment="1">
      <alignment horizontal="left"/>
      <protection/>
    </xf>
    <xf numFmtId="3" fontId="10" fillId="0" borderId="73" xfId="97" applyNumberFormat="1" applyFont="1" applyBorder="1" applyAlignment="1">
      <alignment horizontal="center"/>
      <protection/>
    </xf>
    <xf numFmtId="3" fontId="10" fillId="0" borderId="76" xfId="97" applyNumberFormat="1" applyFont="1" applyBorder="1" applyAlignment="1">
      <alignment horizontal="right"/>
      <protection/>
    </xf>
    <xf numFmtId="0" fontId="19" fillId="0" borderId="0" xfId="97" applyFont="1">
      <alignment/>
      <protection/>
    </xf>
    <xf numFmtId="3" fontId="6" fillId="0" borderId="15" xfId="97" applyNumberFormat="1" applyFont="1" applyBorder="1" applyAlignment="1">
      <alignment horizontal="right"/>
      <protection/>
    </xf>
    <xf numFmtId="3" fontId="6" fillId="0" borderId="43" xfId="97" applyNumberFormat="1" applyFont="1" applyBorder="1" applyAlignment="1">
      <alignment horizontal="right"/>
      <protection/>
    </xf>
    <xf numFmtId="0" fontId="6" fillId="0" borderId="0" xfId="97" applyFont="1">
      <alignment/>
      <protection/>
    </xf>
    <xf numFmtId="3" fontId="48" fillId="0" borderId="0" xfId="97" applyNumberFormat="1" applyFont="1">
      <alignment/>
      <protection/>
    </xf>
    <xf numFmtId="0" fontId="10" fillId="0" borderId="0" xfId="97" applyFont="1">
      <alignment/>
      <protection/>
    </xf>
    <xf numFmtId="0" fontId="6" fillId="0" borderId="0" xfId="97" applyFont="1">
      <alignment/>
      <protection/>
    </xf>
    <xf numFmtId="3" fontId="10" fillId="0" borderId="76" xfId="97" applyNumberFormat="1" applyFont="1" applyBorder="1" applyAlignment="1">
      <alignment horizontal="center"/>
      <protection/>
    </xf>
    <xf numFmtId="3" fontId="6" fillId="0" borderId="45" xfId="97" applyNumberFormat="1" applyFont="1" applyBorder="1">
      <alignment/>
      <protection/>
    </xf>
    <xf numFmtId="3" fontId="6" fillId="0" borderId="43" xfId="97" applyNumberFormat="1" applyFont="1" applyBorder="1">
      <alignment/>
      <protection/>
    </xf>
    <xf numFmtId="3" fontId="6" fillId="0" borderId="26" xfId="97" applyNumberFormat="1" applyFont="1" applyBorder="1">
      <alignment/>
      <protection/>
    </xf>
    <xf numFmtId="0" fontId="6" fillId="0" borderId="21" xfId="97" applyFont="1" applyBorder="1" applyAlignment="1">
      <alignment horizontal="left" vertical="justify"/>
      <protection/>
    </xf>
    <xf numFmtId="3" fontId="45" fillId="0" borderId="27" xfId="97" applyNumberFormat="1" applyFont="1" applyBorder="1">
      <alignment/>
      <protection/>
    </xf>
    <xf numFmtId="0" fontId="19" fillId="0" borderId="0" xfId="97" applyAlignment="1">
      <alignment horizontal="left"/>
      <protection/>
    </xf>
    <xf numFmtId="3" fontId="10" fillId="0" borderId="76" xfId="97" applyNumberFormat="1" applyFont="1" applyBorder="1">
      <alignment/>
      <protection/>
    </xf>
    <xf numFmtId="0" fontId="19" fillId="0" borderId="21" xfId="97" applyBorder="1">
      <alignment/>
      <protection/>
    </xf>
    <xf numFmtId="0" fontId="10" fillId="0" borderId="26" xfId="0" applyFont="1" applyBorder="1" applyAlignment="1">
      <alignment/>
    </xf>
    <xf numFmtId="3" fontId="46" fillId="0" borderId="27" xfId="0" applyNumberFormat="1" applyFont="1" applyBorder="1" applyAlignment="1">
      <alignment horizontal="right"/>
    </xf>
    <xf numFmtId="2" fontId="46" fillId="0" borderId="43" xfId="0" applyNumberFormat="1" applyFont="1" applyBorder="1" applyAlignment="1">
      <alignment/>
    </xf>
    <xf numFmtId="0" fontId="6" fillId="0" borderId="63" xfId="104" applyFont="1" applyBorder="1">
      <alignment/>
      <protection/>
    </xf>
    <xf numFmtId="3" fontId="10" fillId="0" borderId="70" xfId="104" applyNumberFormat="1" applyFont="1" applyBorder="1">
      <alignment/>
      <protection/>
    </xf>
    <xf numFmtId="0" fontId="10" fillId="0" borderId="63" xfId="104" applyFont="1" applyBorder="1" applyAlignment="1">
      <alignment wrapText="1"/>
      <protection/>
    </xf>
    <xf numFmtId="0" fontId="10" fillId="0" borderId="64" xfId="104" applyFont="1" applyBorder="1" applyAlignment="1">
      <alignment wrapText="1"/>
      <protection/>
    </xf>
    <xf numFmtId="3" fontId="10" fillId="0" borderId="65" xfId="104" applyNumberFormat="1" applyFont="1" applyBorder="1">
      <alignment/>
      <protection/>
    </xf>
    <xf numFmtId="0" fontId="0" fillId="0" borderId="0" xfId="103">
      <alignment/>
      <protection/>
    </xf>
    <xf numFmtId="0" fontId="1" fillId="0" borderId="0" xfId="103" applyFont="1">
      <alignment/>
      <protection/>
    </xf>
    <xf numFmtId="3" fontId="1" fillId="0" borderId="0" xfId="103" applyNumberFormat="1" applyFont="1" applyAlignment="1">
      <alignment horizontal="centerContinuous"/>
      <protection/>
    </xf>
    <xf numFmtId="3" fontId="1" fillId="0" borderId="19" xfId="103" applyNumberFormat="1" applyFont="1" applyBorder="1">
      <alignment/>
      <protection/>
    </xf>
    <xf numFmtId="0" fontId="6" fillId="0" borderId="0" xfId="98" applyFont="1">
      <alignment/>
      <protection/>
    </xf>
    <xf numFmtId="0" fontId="21" fillId="0" borderId="19" xfId="98" applyFont="1" applyFill="1" applyBorder="1" applyAlignment="1">
      <alignment horizontal="center" vertical="center" wrapText="1"/>
      <protection/>
    </xf>
    <xf numFmtId="0" fontId="21" fillId="0" borderId="19" xfId="98" applyFont="1" applyFill="1" applyBorder="1" applyAlignment="1">
      <alignment horizontal="center" vertical="center"/>
      <protection/>
    </xf>
    <xf numFmtId="0" fontId="21" fillId="0" borderId="91" xfId="98" applyFont="1" applyFill="1" applyBorder="1" applyAlignment="1">
      <alignment horizontal="center" vertical="center" wrapText="1"/>
      <protection/>
    </xf>
    <xf numFmtId="0" fontId="6" fillId="0" borderId="19" xfId="98" applyFont="1" applyFill="1" applyBorder="1" applyAlignment="1">
      <alignment vertical="center" wrapText="1"/>
      <protection/>
    </xf>
    <xf numFmtId="3" fontId="6" fillId="0" borderId="19" xfId="98" applyNumberFormat="1" applyFont="1" applyFill="1" applyBorder="1" applyAlignment="1">
      <alignment vertical="center"/>
      <protection/>
    </xf>
    <xf numFmtId="3" fontId="6" fillId="0" borderId="0" xfId="98" applyNumberFormat="1" applyFont="1">
      <alignment/>
      <protection/>
    </xf>
    <xf numFmtId="0" fontId="10" fillId="0" borderId="19" xfId="98" applyFont="1" applyFill="1" applyBorder="1" applyAlignment="1">
      <alignment vertical="center" wrapText="1"/>
      <protection/>
    </xf>
    <xf numFmtId="3" fontId="10" fillId="0" borderId="19" xfId="98" applyNumberFormat="1" applyFont="1" applyFill="1" applyBorder="1" applyAlignment="1">
      <alignment vertical="center"/>
      <protection/>
    </xf>
    <xf numFmtId="0" fontId="10" fillId="0" borderId="0" xfId="98" applyFont="1">
      <alignment/>
      <protection/>
    </xf>
    <xf numFmtId="3" fontId="10" fillId="0" borderId="19" xfId="98" applyNumberFormat="1" applyFont="1" applyBorder="1" applyAlignment="1">
      <alignment vertical="center"/>
      <protection/>
    </xf>
    <xf numFmtId="3" fontId="10" fillId="0" borderId="0" xfId="98" applyNumberFormat="1" applyFont="1">
      <alignment/>
      <protection/>
    </xf>
    <xf numFmtId="0" fontId="6" fillId="0" borderId="20" xfId="98" applyFont="1" applyFill="1" applyBorder="1" applyAlignment="1">
      <alignment vertical="center" wrapText="1"/>
      <protection/>
    </xf>
    <xf numFmtId="3" fontId="6" fillId="0" borderId="20" xfId="98" applyNumberFormat="1" applyFont="1" applyFill="1" applyBorder="1" applyAlignment="1">
      <alignment vertical="center"/>
      <protection/>
    </xf>
    <xf numFmtId="0" fontId="10" fillId="0" borderId="35" xfId="98" applyFont="1" applyBorder="1">
      <alignment/>
      <protection/>
    </xf>
    <xf numFmtId="3" fontId="6" fillId="0" borderId="19" xfId="98" applyNumberFormat="1" applyFont="1" applyBorder="1">
      <alignment/>
      <protection/>
    </xf>
    <xf numFmtId="0" fontId="10" fillId="0" borderId="19" xfId="98" applyFont="1" applyBorder="1">
      <alignment/>
      <protection/>
    </xf>
    <xf numFmtId="0" fontId="6" fillId="0" borderId="35" xfId="98" applyFont="1" applyBorder="1">
      <alignment/>
      <protection/>
    </xf>
    <xf numFmtId="0" fontId="6" fillId="0" borderId="19" xfId="98" applyFont="1" applyBorder="1">
      <alignment/>
      <protection/>
    </xf>
    <xf numFmtId="0" fontId="6" fillId="0" borderId="19" xfId="98" applyFont="1" applyFill="1" applyBorder="1">
      <alignment/>
      <protection/>
    </xf>
    <xf numFmtId="3" fontId="6" fillId="0" borderId="19" xfId="98" applyNumberFormat="1" applyFont="1" applyFill="1" applyBorder="1">
      <alignment/>
      <protection/>
    </xf>
    <xf numFmtId="3" fontId="10" fillId="0" borderId="19" xfId="98" applyNumberFormat="1" applyFont="1" applyFill="1" applyBorder="1">
      <alignment/>
      <protection/>
    </xf>
    <xf numFmtId="0" fontId="22" fillId="0" borderId="0" xfId="98" applyFont="1">
      <alignment/>
      <protection/>
    </xf>
    <xf numFmtId="0" fontId="56" fillId="0" borderId="0" xfId="98" applyFont="1" applyFill="1">
      <alignment/>
      <protection/>
    </xf>
    <xf numFmtId="0" fontId="56" fillId="39" borderId="0" xfId="98" applyFont="1" applyFill="1">
      <alignment/>
      <protection/>
    </xf>
    <xf numFmtId="3" fontId="56" fillId="0" borderId="0" xfId="98" applyNumberFormat="1" applyFont="1" applyFill="1">
      <alignment/>
      <protection/>
    </xf>
    <xf numFmtId="3" fontId="56" fillId="39" borderId="0" xfId="98" applyNumberFormat="1" applyFont="1" applyFill="1">
      <alignment/>
      <protection/>
    </xf>
    <xf numFmtId="0" fontId="6" fillId="0" borderId="0" xfId="98" applyFont="1" applyFill="1">
      <alignment/>
      <protection/>
    </xf>
    <xf numFmtId="3" fontId="22" fillId="0" borderId="0" xfId="98" applyNumberFormat="1" applyFont="1">
      <alignment/>
      <protection/>
    </xf>
    <xf numFmtId="0" fontId="1" fillId="0" borderId="0" xfId="103" applyFont="1" applyAlignment="1">
      <alignment horizontal="left"/>
      <protection/>
    </xf>
    <xf numFmtId="177" fontId="2" fillId="0" borderId="92" xfId="0" applyNumberFormat="1" applyFont="1" applyBorder="1" applyAlignment="1">
      <alignment/>
    </xf>
    <xf numFmtId="177" fontId="2" fillId="0" borderId="26" xfId="0" applyNumberFormat="1" applyFont="1" applyBorder="1" applyAlignment="1">
      <alignment/>
    </xf>
    <xf numFmtId="0" fontId="0" fillId="0" borderId="0" xfId="0" applyAlignment="1">
      <alignment/>
    </xf>
    <xf numFmtId="3" fontId="1" fillId="0" borderId="0" xfId="103" applyNumberFormat="1" applyFont="1">
      <alignment/>
      <protection/>
    </xf>
    <xf numFmtId="0" fontId="57" fillId="0" borderId="0" xfId="103" applyFont="1" applyAlignment="1">
      <alignment horizontal="center"/>
      <protection/>
    </xf>
    <xf numFmtId="0" fontId="23" fillId="0" borderId="0" xfId="103" applyFont="1" applyAlignment="1">
      <alignment horizontal="centerContinuous"/>
      <protection/>
    </xf>
    <xf numFmtId="3" fontId="1" fillId="0" borderId="0" xfId="103" applyNumberFormat="1" applyFont="1" applyAlignment="1">
      <alignment horizontal="right"/>
      <protection/>
    </xf>
    <xf numFmtId="0" fontId="1" fillId="0" borderId="19" xfId="103" applyFont="1" applyBorder="1">
      <alignment/>
      <protection/>
    </xf>
    <xf numFmtId="3" fontId="1" fillId="0" borderId="93" xfId="103" applyNumberFormat="1" applyFont="1" applyBorder="1">
      <alignment/>
      <protection/>
    </xf>
    <xf numFmtId="0" fontId="1" fillId="0" borderId="0" xfId="103" applyFont="1" applyBorder="1">
      <alignment/>
      <protection/>
    </xf>
    <xf numFmtId="3" fontId="1" fillId="0" borderId="0" xfId="103" applyNumberFormat="1" applyFont="1" applyBorder="1">
      <alignment/>
      <protection/>
    </xf>
    <xf numFmtId="0" fontId="1" fillId="0" borderId="0" xfId="103" applyFont="1" applyBorder="1" applyAlignment="1">
      <alignment horizontal="left" vertical="top"/>
      <protection/>
    </xf>
    <xf numFmtId="0" fontId="1" fillId="0" borderId="0" xfId="103" applyFont="1" applyBorder="1" applyAlignment="1">
      <alignment horizontal="center" vertical="top"/>
      <protection/>
    </xf>
    <xf numFmtId="3" fontId="1" fillId="0" borderId="0" xfId="103" applyNumberFormat="1" applyFont="1" applyBorder="1" applyAlignment="1">
      <alignment horizontal="center" vertical="top" wrapText="1"/>
      <protection/>
    </xf>
    <xf numFmtId="3" fontId="1" fillId="0" borderId="35" xfId="103" applyNumberFormat="1" applyFont="1" applyBorder="1">
      <alignment/>
      <protection/>
    </xf>
    <xf numFmtId="0" fontId="7" fillId="0" borderId="0" xfId="103" applyFont="1">
      <alignment/>
      <protection/>
    </xf>
    <xf numFmtId="0" fontId="16" fillId="0" borderId="14" xfId="103" applyFont="1" applyBorder="1">
      <alignment/>
      <protection/>
    </xf>
    <xf numFmtId="3" fontId="16" fillId="0" borderId="34" xfId="103" applyNumberFormat="1" applyFont="1" applyBorder="1">
      <alignment/>
      <protection/>
    </xf>
    <xf numFmtId="0" fontId="13" fillId="0" borderId="0" xfId="103" applyFont="1">
      <alignment/>
      <protection/>
    </xf>
    <xf numFmtId="0" fontId="16" fillId="0" borderId="19" xfId="103" applyFont="1" applyBorder="1">
      <alignment/>
      <protection/>
    </xf>
    <xf numFmtId="3" fontId="16" fillId="0" borderId="19" xfId="103" applyNumberFormat="1" applyFont="1" applyBorder="1">
      <alignment/>
      <protection/>
    </xf>
    <xf numFmtId="3" fontId="16" fillId="0" borderId="93" xfId="103" applyNumberFormat="1" applyFont="1" applyBorder="1">
      <alignment/>
      <protection/>
    </xf>
    <xf numFmtId="3" fontId="16" fillId="0" borderId="35" xfId="103" applyNumberFormat="1" applyFont="1" applyBorder="1">
      <alignment/>
      <protection/>
    </xf>
    <xf numFmtId="3" fontId="16" fillId="0" borderId="14" xfId="103" applyNumberFormat="1" applyFont="1" applyBorder="1">
      <alignment/>
      <protection/>
    </xf>
    <xf numFmtId="0" fontId="50" fillId="0" borderId="0" xfId="0" applyFont="1" applyAlignment="1">
      <alignment/>
    </xf>
    <xf numFmtId="0" fontId="52" fillId="0" borderId="0" xfId="0" applyFont="1" applyAlignment="1">
      <alignment horizontal="center"/>
    </xf>
    <xf numFmtId="0" fontId="55" fillId="0" borderId="0" xfId="0" applyFont="1" applyAlignment="1">
      <alignment/>
    </xf>
    <xf numFmtId="0" fontId="10" fillId="0" borderId="19" xfId="0" applyFont="1" applyFill="1" applyBorder="1" applyAlignment="1">
      <alignment horizontal="center" vertical="top"/>
    </xf>
    <xf numFmtId="1" fontId="1" fillId="0" borderId="19" xfId="0" applyNumberFormat="1" applyFont="1" applyBorder="1" applyAlignment="1">
      <alignment horizontal="center"/>
    </xf>
    <xf numFmtId="3" fontId="1" fillId="0" borderId="26" xfId="0" applyNumberFormat="1" applyFont="1" applyFill="1" applyBorder="1" applyAlignment="1">
      <alignment horizontal="right"/>
    </xf>
    <xf numFmtId="0" fontId="6" fillId="0" borderId="19" xfId="0" applyFont="1" applyBorder="1" applyAlignment="1">
      <alignment horizontal="center"/>
    </xf>
    <xf numFmtId="3" fontId="6" fillId="0" borderId="19" xfId="0" applyNumberFormat="1" applyFont="1" applyBorder="1" applyAlignment="1">
      <alignment horizontal="right"/>
    </xf>
    <xf numFmtId="1" fontId="6" fillId="0" borderId="19" xfId="0" applyNumberFormat="1" applyFont="1" applyBorder="1" applyAlignment="1">
      <alignment horizontal="center"/>
    </xf>
    <xf numFmtId="3" fontId="6" fillId="0" borderId="19" xfId="0" applyNumberFormat="1" applyFont="1" applyBorder="1" applyAlignment="1">
      <alignment/>
    </xf>
    <xf numFmtId="3" fontId="6" fillId="0" borderId="26" xfId="0" applyNumberFormat="1" applyFont="1" applyFill="1" applyBorder="1" applyAlignment="1">
      <alignment horizontal="right"/>
    </xf>
    <xf numFmtId="0" fontId="10" fillId="0" borderId="19" xfId="0" applyFont="1" applyBorder="1" applyAlignment="1">
      <alignment horizontal="center"/>
    </xf>
    <xf numFmtId="3" fontId="10" fillId="0" borderId="19" xfId="0" applyNumberFormat="1" applyFont="1" applyBorder="1" applyAlignment="1">
      <alignment horizontal="right"/>
    </xf>
    <xf numFmtId="1" fontId="10" fillId="0" borderId="19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/>
    </xf>
    <xf numFmtId="3" fontId="10" fillId="0" borderId="26" xfId="0" applyNumberFormat="1" applyFont="1" applyFill="1" applyBorder="1" applyAlignment="1">
      <alignment horizontal="right"/>
    </xf>
    <xf numFmtId="3" fontId="10" fillId="0" borderId="19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6" fillId="0" borderId="25" xfId="0" applyFont="1" applyBorder="1" applyAlignment="1">
      <alignment horizontal="center"/>
    </xf>
    <xf numFmtId="3" fontId="10" fillId="0" borderId="25" xfId="0" applyNumberFormat="1" applyFont="1" applyBorder="1" applyAlignment="1">
      <alignment horizontal="right"/>
    </xf>
    <xf numFmtId="1" fontId="6" fillId="0" borderId="25" xfId="0" applyNumberFormat="1" applyFont="1" applyBorder="1" applyAlignment="1">
      <alignment horizontal="center"/>
    </xf>
    <xf numFmtId="3" fontId="10" fillId="0" borderId="25" xfId="0" applyNumberFormat="1" applyFont="1" applyBorder="1" applyAlignment="1">
      <alignment/>
    </xf>
    <xf numFmtId="3" fontId="10" fillId="0" borderId="25" xfId="0" applyNumberFormat="1" applyFont="1" applyBorder="1" applyAlignment="1">
      <alignment/>
    </xf>
    <xf numFmtId="3" fontId="10" fillId="0" borderId="27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5" fillId="0" borderId="94" xfId="0" applyFont="1" applyBorder="1" applyAlignment="1">
      <alignment horizontal="center" vertical="center" wrapText="1"/>
    </xf>
    <xf numFmtId="3" fontId="5" fillId="0" borderId="19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9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19" xfId="0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/>
    </xf>
    <xf numFmtId="3" fontId="4" fillId="0" borderId="19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172" fontId="4" fillId="0" borderId="19" xfId="0" applyNumberFormat="1" applyFont="1" applyFill="1" applyBorder="1" applyAlignment="1">
      <alignment/>
    </xf>
    <xf numFmtId="172" fontId="4" fillId="0" borderId="18" xfId="0" applyNumberFormat="1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3" fontId="17" fillId="0" borderId="18" xfId="0" applyNumberFormat="1" applyFont="1" applyFill="1" applyBorder="1" applyAlignment="1">
      <alignment/>
    </xf>
    <xf numFmtId="3" fontId="16" fillId="0" borderId="18" xfId="0" applyNumberFormat="1" applyFont="1" applyFill="1" applyBorder="1" applyAlignment="1">
      <alignment/>
    </xf>
    <xf numFmtId="3" fontId="17" fillId="0" borderId="19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170" fontId="4" fillId="0" borderId="19" xfId="0" applyNumberFormat="1" applyFont="1" applyFill="1" applyBorder="1" applyAlignment="1">
      <alignment/>
    </xf>
    <xf numFmtId="3" fontId="4" fillId="0" borderId="18" xfId="0" applyNumberFormat="1" applyFont="1" applyBorder="1" applyAlignment="1">
      <alignment/>
    </xf>
    <xf numFmtId="0" fontId="1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/>
    </xf>
    <xf numFmtId="3" fontId="17" fillId="0" borderId="19" xfId="0" applyNumberFormat="1" applyFont="1" applyBorder="1" applyAlignment="1">
      <alignment/>
    </xf>
    <xf numFmtId="0" fontId="17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7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3" fontId="17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16" fillId="0" borderId="0" xfId="0" applyFont="1" applyAlignment="1">
      <alignment/>
    </xf>
    <xf numFmtId="3" fontId="20" fillId="0" borderId="19" xfId="0" applyNumberFormat="1" applyFont="1" applyBorder="1" applyAlignment="1">
      <alignment/>
    </xf>
    <xf numFmtId="3" fontId="20" fillId="0" borderId="18" xfId="0" applyNumberFormat="1" applyFont="1" applyBorder="1" applyAlignment="1">
      <alignment/>
    </xf>
    <xf numFmtId="3" fontId="59" fillId="0" borderId="18" xfId="0" applyNumberFormat="1" applyFont="1" applyBorder="1" applyAlignment="1">
      <alignment/>
    </xf>
    <xf numFmtId="3" fontId="17" fillId="0" borderId="18" xfId="0" applyNumberFormat="1" applyFont="1" applyBorder="1" applyAlignment="1">
      <alignment/>
    </xf>
    <xf numFmtId="3" fontId="60" fillId="0" borderId="19" xfId="0" applyNumberFormat="1" applyFont="1" applyBorder="1" applyAlignment="1">
      <alignment/>
    </xf>
    <xf numFmtId="3" fontId="46" fillId="0" borderId="18" xfId="0" applyNumberFormat="1" applyFont="1" applyBorder="1" applyAlignment="1">
      <alignment horizontal="right"/>
    </xf>
    <xf numFmtId="3" fontId="25" fillId="0" borderId="18" xfId="0" applyNumberFormat="1" applyFont="1" applyBorder="1" applyAlignment="1">
      <alignment horizontal="right"/>
    </xf>
    <xf numFmtId="0" fontId="60" fillId="0" borderId="0" xfId="0" applyFont="1" applyBorder="1" applyAlignment="1">
      <alignment/>
    </xf>
    <xf numFmtId="3" fontId="59" fillId="0" borderId="19" xfId="0" applyNumberFormat="1" applyFont="1" applyBorder="1" applyAlignment="1">
      <alignment/>
    </xf>
    <xf numFmtId="0" fontId="59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61" fillId="0" borderId="95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44" fillId="0" borderId="0" xfId="101" applyFont="1" applyAlignment="1">
      <alignment horizontal="center"/>
      <protection/>
    </xf>
    <xf numFmtId="0" fontId="6" fillId="0" borderId="0" xfId="101" applyFont="1">
      <alignment/>
      <protection/>
    </xf>
    <xf numFmtId="0" fontId="44" fillId="0" borderId="0" xfId="101" applyFont="1" applyFill="1" applyAlignment="1">
      <alignment horizontal="center"/>
      <protection/>
    </xf>
    <xf numFmtId="3" fontId="44" fillId="0" borderId="0" xfId="101" applyNumberFormat="1" applyFont="1" applyFill="1" applyAlignment="1">
      <alignment horizontal="center"/>
      <protection/>
    </xf>
    <xf numFmtId="3" fontId="6" fillId="0" borderId="0" xfId="101" applyNumberFormat="1" applyFont="1">
      <alignment/>
      <protection/>
    </xf>
    <xf numFmtId="0" fontId="6" fillId="0" borderId="0" xfId="101" applyFont="1" applyFill="1">
      <alignment/>
      <protection/>
    </xf>
    <xf numFmtId="3" fontId="6" fillId="0" borderId="0" xfId="101" applyNumberFormat="1" applyFont="1" applyFill="1">
      <alignment/>
      <protection/>
    </xf>
    <xf numFmtId="0" fontId="6" fillId="0" borderId="0" xfId="101" applyFont="1" applyFill="1" applyAlignment="1">
      <alignment horizontal="right"/>
      <protection/>
    </xf>
    <xf numFmtId="3" fontId="6" fillId="0" borderId="0" xfId="101" applyNumberFormat="1" applyFont="1" applyAlignment="1">
      <alignment horizontal="right"/>
      <protection/>
    </xf>
    <xf numFmtId="0" fontId="6" fillId="0" borderId="0" xfId="101" applyFont="1" applyAlignment="1">
      <alignment horizontal="right"/>
      <protection/>
    </xf>
    <xf numFmtId="4" fontId="6" fillId="0" borderId="0" xfId="101" applyNumberFormat="1" applyFont="1">
      <alignment/>
      <protection/>
    </xf>
    <xf numFmtId="172" fontId="6" fillId="0" borderId="14" xfId="101" applyNumberFormat="1" applyFont="1" applyBorder="1">
      <alignment/>
      <protection/>
    </xf>
    <xf numFmtId="3" fontId="6" fillId="0" borderId="14" xfId="101" applyNumberFormat="1" applyFont="1" applyBorder="1">
      <alignment/>
      <protection/>
    </xf>
    <xf numFmtId="3" fontId="6" fillId="0" borderId="15" xfId="101" applyNumberFormat="1" applyFont="1" applyFill="1" applyBorder="1">
      <alignment/>
      <protection/>
    </xf>
    <xf numFmtId="10" fontId="6" fillId="0" borderId="14" xfId="113" applyNumberFormat="1" applyFont="1" applyFill="1" applyBorder="1" applyAlignment="1">
      <alignment/>
    </xf>
    <xf numFmtId="3" fontId="6" fillId="0" borderId="14" xfId="101" applyNumberFormat="1" applyFont="1" applyFill="1" applyBorder="1">
      <alignment/>
      <protection/>
    </xf>
    <xf numFmtId="10" fontId="6" fillId="0" borderId="15" xfId="113" applyNumberFormat="1" applyFont="1" applyFill="1" applyBorder="1" applyAlignment="1">
      <alignment/>
    </xf>
    <xf numFmtId="165" fontId="6" fillId="0" borderId="15" xfId="101" applyNumberFormat="1" applyFont="1" applyFill="1" applyBorder="1">
      <alignment/>
      <protection/>
    </xf>
    <xf numFmtId="165" fontId="6" fillId="0" borderId="0" xfId="101" applyNumberFormat="1" applyFont="1">
      <alignment/>
      <protection/>
    </xf>
    <xf numFmtId="172" fontId="6" fillId="0" borderId="19" xfId="101" applyNumberFormat="1" applyFont="1" applyBorder="1">
      <alignment/>
      <protection/>
    </xf>
    <xf numFmtId="3" fontId="6" fillId="0" borderId="19" xfId="101" applyNumberFormat="1" applyFont="1" applyBorder="1">
      <alignment/>
      <protection/>
    </xf>
    <xf numFmtId="3" fontId="6" fillId="0" borderId="15" xfId="101" applyNumberFormat="1" applyFont="1" applyBorder="1">
      <alignment/>
      <protection/>
    </xf>
    <xf numFmtId="3" fontId="6" fillId="0" borderId="19" xfId="101" applyNumberFormat="1" applyFont="1" applyFill="1" applyBorder="1">
      <alignment/>
      <protection/>
    </xf>
    <xf numFmtId="4" fontId="6" fillId="0" borderId="19" xfId="101" applyNumberFormat="1" applyFont="1" applyBorder="1">
      <alignment/>
      <protection/>
    </xf>
    <xf numFmtId="4" fontId="6" fillId="0" borderId="14" xfId="101" applyNumberFormat="1" applyFont="1" applyBorder="1">
      <alignment/>
      <protection/>
    </xf>
    <xf numFmtId="172" fontId="10" fillId="0" borderId="19" xfId="101" applyNumberFormat="1" applyFont="1" applyBorder="1">
      <alignment/>
      <protection/>
    </xf>
    <xf numFmtId="3" fontId="10" fillId="0" borderId="19" xfId="101" applyNumberFormat="1" applyFont="1" applyBorder="1">
      <alignment/>
      <protection/>
    </xf>
    <xf numFmtId="3" fontId="10" fillId="0" borderId="14" xfId="101" applyNumberFormat="1" applyFont="1" applyBorder="1">
      <alignment/>
      <protection/>
    </xf>
    <xf numFmtId="3" fontId="10" fillId="0" borderId="15" xfId="101" applyNumberFormat="1" applyFont="1" applyBorder="1">
      <alignment/>
      <protection/>
    </xf>
    <xf numFmtId="3" fontId="10" fillId="0" borderId="14" xfId="101" applyNumberFormat="1" applyFont="1" applyFill="1" applyBorder="1">
      <alignment/>
      <protection/>
    </xf>
    <xf numFmtId="3" fontId="10" fillId="0" borderId="19" xfId="101" applyNumberFormat="1" applyFont="1" applyFill="1" applyBorder="1">
      <alignment/>
      <protection/>
    </xf>
    <xf numFmtId="3" fontId="10" fillId="0" borderId="19" xfId="101" applyNumberFormat="1" applyFont="1" applyFill="1" applyBorder="1">
      <alignment/>
      <protection/>
    </xf>
    <xf numFmtId="3" fontId="10" fillId="0" borderId="15" xfId="101" applyNumberFormat="1" applyFont="1" applyFill="1" applyBorder="1">
      <alignment/>
      <protection/>
    </xf>
    <xf numFmtId="165" fontId="10" fillId="0" borderId="15" xfId="101" applyNumberFormat="1" applyFont="1" applyFill="1" applyBorder="1">
      <alignment/>
      <protection/>
    </xf>
    <xf numFmtId="4" fontId="10" fillId="0" borderId="14" xfId="101" applyNumberFormat="1" applyFont="1" applyBorder="1">
      <alignment/>
      <protection/>
    </xf>
    <xf numFmtId="0" fontId="6" fillId="0" borderId="19" xfId="101" applyFont="1" applyBorder="1">
      <alignment/>
      <protection/>
    </xf>
    <xf numFmtId="4" fontId="10" fillId="0" borderId="19" xfId="101" applyNumberFormat="1" applyFont="1" applyBorder="1">
      <alignment/>
      <protection/>
    </xf>
    <xf numFmtId="165" fontId="6" fillId="0" borderId="14" xfId="101" applyNumberFormat="1" applyFont="1" applyFill="1" applyBorder="1">
      <alignment/>
      <protection/>
    </xf>
    <xf numFmtId="0" fontId="6" fillId="0" borderId="19" xfId="101" applyFont="1" applyFill="1" applyBorder="1">
      <alignment/>
      <protection/>
    </xf>
    <xf numFmtId="3" fontId="10" fillId="0" borderId="19" xfId="101" applyNumberFormat="1" applyFont="1" applyBorder="1">
      <alignment/>
      <protection/>
    </xf>
    <xf numFmtId="3" fontId="10" fillId="0" borderId="20" xfId="101" applyNumberFormat="1" applyFont="1" applyBorder="1">
      <alignment/>
      <protection/>
    </xf>
    <xf numFmtId="0" fontId="10" fillId="0" borderId="20" xfId="101" applyFont="1" applyBorder="1">
      <alignment/>
      <protection/>
    </xf>
    <xf numFmtId="3" fontId="10" fillId="0" borderId="15" xfId="101" applyNumberFormat="1" applyFont="1" applyBorder="1">
      <alignment/>
      <protection/>
    </xf>
    <xf numFmtId="165" fontId="10" fillId="0" borderId="19" xfId="101" applyNumberFormat="1" applyFont="1" applyFill="1" applyBorder="1">
      <alignment/>
      <protection/>
    </xf>
    <xf numFmtId="3" fontId="10" fillId="0" borderId="20" xfId="101" applyNumberFormat="1" applyFont="1" applyFill="1" applyBorder="1">
      <alignment/>
      <protection/>
    </xf>
    <xf numFmtId="0" fontId="10" fillId="0" borderId="20" xfId="101" applyFont="1" applyFill="1" applyBorder="1">
      <alignment/>
      <protection/>
    </xf>
    <xf numFmtId="3" fontId="10" fillId="0" borderId="14" xfId="101" applyNumberFormat="1" applyFont="1" applyFill="1" applyBorder="1">
      <alignment/>
      <protection/>
    </xf>
    <xf numFmtId="165" fontId="10" fillId="0" borderId="14" xfId="101" applyNumberFormat="1" applyFont="1" applyFill="1" applyBorder="1">
      <alignment/>
      <protection/>
    </xf>
    <xf numFmtId="165" fontId="10" fillId="0" borderId="15" xfId="101" applyNumberFormat="1" applyFont="1" applyFill="1" applyBorder="1">
      <alignment/>
      <protection/>
    </xf>
    <xf numFmtId="3" fontId="10" fillId="0" borderId="15" xfId="101" applyNumberFormat="1" applyFont="1" applyFill="1" applyBorder="1">
      <alignment/>
      <protection/>
    </xf>
    <xf numFmtId="4" fontId="6" fillId="0" borderId="0" xfId="101" applyNumberFormat="1" applyFont="1" applyAlignment="1">
      <alignment/>
      <protection/>
    </xf>
    <xf numFmtId="0" fontId="51" fillId="0" borderId="0" xfId="101" applyFont="1">
      <alignment/>
      <protection/>
    </xf>
    <xf numFmtId="3" fontId="51" fillId="0" borderId="0" xfId="101" applyNumberFormat="1" applyFont="1">
      <alignment/>
      <protection/>
    </xf>
    <xf numFmtId="0" fontId="51" fillId="0" borderId="0" xfId="101" applyFont="1" applyAlignment="1">
      <alignment wrapText="1"/>
      <protection/>
    </xf>
    <xf numFmtId="0" fontId="51" fillId="0" borderId="0" xfId="101" applyFont="1" applyFill="1" applyAlignment="1">
      <alignment wrapText="1"/>
      <protection/>
    </xf>
    <xf numFmtId="3" fontId="51" fillId="0" borderId="0" xfId="101" applyNumberFormat="1" applyFont="1" applyFill="1" applyAlignment="1">
      <alignment wrapText="1"/>
      <protection/>
    </xf>
    <xf numFmtId="3" fontId="51" fillId="0" borderId="0" xfId="101" applyNumberFormat="1" applyFont="1" applyAlignment="1">
      <alignment wrapText="1"/>
      <protection/>
    </xf>
    <xf numFmtId="4" fontId="51" fillId="0" borderId="0" xfId="101" applyNumberFormat="1" applyFont="1">
      <alignment/>
      <protection/>
    </xf>
    <xf numFmtId="3" fontId="6" fillId="0" borderId="96" xfId="101" applyNumberFormat="1" applyFont="1" applyFill="1" applyBorder="1">
      <alignment/>
      <protection/>
    </xf>
    <xf numFmtId="4" fontId="6" fillId="0" borderId="96" xfId="101" applyNumberFormat="1" applyFont="1" applyBorder="1">
      <alignment/>
      <protection/>
    </xf>
    <xf numFmtId="0" fontId="5" fillId="0" borderId="21" xfId="0" applyFont="1" applyFill="1" applyBorder="1" applyAlignment="1">
      <alignment horizontal="center" vertical="center"/>
    </xf>
    <xf numFmtId="3" fontId="5" fillId="0" borderId="97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/>
    </xf>
    <xf numFmtId="3" fontId="5" fillId="0" borderId="26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0" fontId="17" fillId="0" borderId="21" xfId="0" applyFont="1" applyFill="1" applyBorder="1" applyAlignment="1">
      <alignment/>
    </xf>
    <xf numFmtId="3" fontId="17" fillId="0" borderId="26" xfId="0" applyNumberFormat="1" applyFont="1" applyFill="1" applyBorder="1" applyAlignment="1">
      <alignment/>
    </xf>
    <xf numFmtId="0" fontId="20" fillId="0" borderId="21" xfId="0" applyFont="1" applyFill="1" applyBorder="1" applyAlignment="1">
      <alignment/>
    </xf>
    <xf numFmtId="3" fontId="2" fillId="0" borderId="26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/>
    </xf>
    <xf numFmtId="0" fontId="17" fillId="0" borderId="24" xfId="0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7" fillId="0" borderId="38" xfId="0" applyNumberFormat="1" applyFont="1" applyFill="1" applyBorder="1" applyAlignment="1">
      <alignment/>
    </xf>
    <xf numFmtId="3" fontId="16" fillId="0" borderId="38" xfId="0" applyNumberFormat="1" applyFont="1" applyFill="1" applyBorder="1" applyAlignment="1">
      <alignment/>
    </xf>
    <xf numFmtId="3" fontId="17" fillId="0" borderId="25" xfId="0" applyNumberFormat="1" applyFont="1" applyBorder="1" applyAlignment="1">
      <alignment/>
    </xf>
    <xf numFmtId="3" fontId="2" fillId="0" borderId="27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7" fillId="0" borderId="53" xfId="0" applyFont="1" applyFill="1" applyBorder="1" applyAlignment="1">
      <alignment/>
    </xf>
    <xf numFmtId="3" fontId="16" fillId="0" borderId="54" xfId="0" applyNumberFormat="1" applyFont="1" applyBorder="1" applyAlignment="1">
      <alignment/>
    </xf>
    <xf numFmtId="3" fontId="17" fillId="0" borderId="45" xfId="0" applyNumberFormat="1" applyFont="1" applyBorder="1" applyAlignment="1">
      <alignment/>
    </xf>
    <xf numFmtId="3" fontId="16" fillId="0" borderId="45" xfId="0" applyNumberFormat="1" applyFont="1" applyBorder="1" applyAlignment="1">
      <alignment/>
    </xf>
    <xf numFmtId="3" fontId="17" fillId="0" borderId="54" xfId="0" applyNumberFormat="1" applyFont="1" applyBorder="1" applyAlignment="1">
      <alignment/>
    </xf>
    <xf numFmtId="3" fontId="17" fillId="0" borderId="33" xfId="0" applyNumberFormat="1" applyFont="1" applyFill="1" applyBorder="1" applyAlignment="1">
      <alignment/>
    </xf>
    <xf numFmtId="3" fontId="20" fillId="0" borderId="26" xfId="0" applyNumberFormat="1" applyFont="1" applyFill="1" applyBorder="1" applyAlignment="1">
      <alignment/>
    </xf>
    <xf numFmtId="0" fontId="46" fillId="0" borderId="21" xfId="0" applyFont="1" applyFill="1" applyBorder="1" applyAlignment="1">
      <alignment/>
    </xf>
    <xf numFmtId="3" fontId="60" fillId="0" borderId="26" xfId="0" applyNumberFormat="1" applyFont="1" applyFill="1" applyBorder="1" applyAlignment="1">
      <alignment/>
    </xf>
    <xf numFmtId="0" fontId="20" fillId="0" borderId="37" xfId="0" applyFont="1" applyFill="1" applyBorder="1" applyAlignment="1">
      <alignment/>
    </xf>
    <xf numFmtId="3" fontId="59" fillId="0" borderId="26" xfId="0" applyNumberFormat="1" applyFont="1" applyFill="1" applyBorder="1" applyAlignment="1">
      <alignment/>
    </xf>
    <xf numFmtId="0" fontId="46" fillId="0" borderId="24" xfId="0" applyFont="1" applyFill="1" applyBorder="1" applyAlignment="1">
      <alignment/>
    </xf>
    <xf numFmtId="3" fontId="61" fillId="0" borderId="25" xfId="0" applyNumberFormat="1" applyFont="1" applyBorder="1" applyAlignment="1">
      <alignment/>
    </xf>
    <xf numFmtId="3" fontId="46" fillId="0" borderId="38" xfId="0" applyNumberFormat="1" applyFont="1" applyBorder="1" applyAlignment="1">
      <alignment/>
    </xf>
    <xf numFmtId="3" fontId="25" fillId="0" borderId="38" xfId="0" applyNumberFormat="1" applyFont="1" applyBorder="1" applyAlignment="1">
      <alignment/>
    </xf>
    <xf numFmtId="3" fontId="46" fillId="0" borderId="27" xfId="0" applyNumberFormat="1" applyFont="1" applyFill="1" applyBorder="1" applyAlignment="1">
      <alignment/>
    </xf>
    <xf numFmtId="3" fontId="2" fillId="0" borderId="0" xfId="99" applyNumberFormat="1" applyFont="1" applyAlignment="1">
      <alignment horizontal="left"/>
      <protection/>
    </xf>
    <xf numFmtId="3" fontId="1" fillId="0" borderId="0" xfId="99" applyNumberFormat="1" applyFont="1" applyAlignment="1" quotePrefix="1">
      <alignment horizontal="left"/>
      <protection/>
    </xf>
    <xf numFmtId="3" fontId="1" fillId="0" borderId="0" xfId="99" applyNumberFormat="1" applyFont="1" applyAlignment="1">
      <alignment/>
      <protection/>
    </xf>
    <xf numFmtId="3" fontId="1" fillId="0" borderId="0" xfId="99" applyNumberFormat="1" applyFont="1">
      <alignment/>
      <protection/>
    </xf>
    <xf numFmtId="3" fontId="2" fillId="0" borderId="0" xfId="99" applyNumberFormat="1" applyFont="1">
      <alignment/>
      <protection/>
    </xf>
    <xf numFmtId="3" fontId="12" fillId="0" borderId="0" xfId="99" applyNumberFormat="1" applyFont="1">
      <alignment/>
      <protection/>
    </xf>
    <xf numFmtId="3" fontId="11" fillId="0" borderId="98" xfId="99" applyNumberFormat="1" applyFont="1" applyBorder="1" applyAlignment="1">
      <alignment horizontal="center"/>
      <protection/>
    </xf>
    <xf numFmtId="3" fontId="11" fillId="0" borderId="24" xfId="99" applyNumberFormat="1" applyFont="1" applyBorder="1" applyAlignment="1">
      <alignment horizontal="center" vertical="center"/>
      <protection/>
    </xf>
    <xf numFmtId="3" fontId="11" fillId="0" borderId="38" xfId="0" applyNumberFormat="1" applyFont="1" applyBorder="1" applyAlignment="1">
      <alignment horizontal="center" vertical="center" wrapText="1"/>
    </xf>
    <xf numFmtId="3" fontId="11" fillId="0" borderId="27" xfId="0" applyNumberFormat="1" applyFont="1" applyBorder="1" applyAlignment="1">
      <alignment horizontal="center" vertical="center" wrapText="1"/>
    </xf>
    <xf numFmtId="3" fontId="12" fillId="0" borderId="99" xfId="99" applyNumberFormat="1" applyFont="1" applyBorder="1">
      <alignment/>
      <protection/>
    </xf>
    <xf numFmtId="3" fontId="12" fillId="0" borderId="22" xfId="99" applyNumberFormat="1" applyFont="1" applyBorder="1">
      <alignment/>
      <protection/>
    </xf>
    <xf numFmtId="3" fontId="12" fillId="0" borderId="15" xfId="99" applyNumberFormat="1" applyFont="1" applyBorder="1">
      <alignment/>
      <protection/>
    </xf>
    <xf numFmtId="3" fontId="12" fillId="0" borderId="43" xfId="99" applyNumberFormat="1" applyFont="1" applyBorder="1">
      <alignment/>
      <protection/>
    </xf>
    <xf numFmtId="3" fontId="12" fillId="0" borderId="99" xfId="99" applyNumberFormat="1" applyFont="1" applyBorder="1" applyAlignment="1" quotePrefix="1">
      <alignment horizontal="left"/>
      <protection/>
    </xf>
    <xf numFmtId="3" fontId="1" fillId="0" borderId="15" xfId="99" applyNumberFormat="1" applyFont="1" applyBorder="1">
      <alignment/>
      <protection/>
    </xf>
    <xf numFmtId="3" fontId="1" fillId="0" borderId="43" xfId="99" applyNumberFormat="1" applyFont="1" applyBorder="1">
      <alignment/>
      <protection/>
    </xf>
    <xf numFmtId="3" fontId="12" fillId="0" borderId="18" xfId="99" applyNumberFormat="1" applyFont="1" applyBorder="1">
      <alignment/>
      <protection/>
    </xf>
    <xf numFmtId="3" fontId="12" fillId="0" borderId="26" xfId="99" applyNumberFormat="1" applyFont="1" applyBorder="1">
      <alignment/>
      <protection/>
    </xf>
    <xf numFmtId="3" fontId="12" fillId="0" borderId="100" xfId="99" applyNumberFormat="1" applyFont="1" applyBorder="1">
      <alignment/>
      <protection/>
    </xf>
    <xf numFmtId="3" fontId="12" fillId="0" borderId="21" xfId="99" applyNumberFormat="1" applyFont="1" applyBorder="1">
      <alignment/>
      <protection/>
    </xf>
    <xf numFmtId="3" fontId="1" fillId="0" borderId="18" xfId="99" applyNumberFormat="1" applyFont="1" applyBorder="1">
      <alignment/>
      <protection/>
    </xf>
    <xf numFmtId="3" fontId="1" fillId="0" borderId="26" xfId="99" applyNumberFormat="1" applyFont="1" applyBorder="1">
      <alignment/>
      <protection/>
    </xf>
    <xf numFmtId="3" fontId="12" fillId="0" borderId="100" xfId="99" applyNumberFormat="1" applyFont="1" applyBorder="1" applyAlignment="1">
      <alignment/>
      <protection/>
    </xf>
    <xf numFmtId="3" fontId="64" fillId="0" borderId="100" xfId="99" applyNumberFormat="1" applyFont="1" applyBorder="1">
      <alignment/>
      <protection/>
    </xf>
    <xf numFmtId="3" fontId="64" fillId="0" borderId="21" xfId="99" applyNumberFormat="1" applyFont="1" applyBorder="1">
      <alignment/>
      <protection/>
    </xf>
    <xf numFmtId="3" fontId="64" fillId="0" borderId="18" xfId="99" applyNumberFormat="1" applyFont="1" applyBorder="1">
      <alignment/>
      <protection/>
    </xf>
    <xf numFmtId="3" fontId="64" fillId="0" borderId="26" xfId="99" applyNumberFormat="1" applyFont="1" applyBorder="1">
      <alignment/>
      <protection/>
    </xf>
    <xf numFmtId="3" fontId="12" fillId="0" borderId="100" xfId="0" applyNumberFormat="1" applyFont="1" applyBorder="1" applyAlignment="1">
      <alignment/>
    </xf>
    <xf numFmtId="3" fontId="1" fillId="0" borderId="100" xfId="99" applyNumberFormat="1" applyFont="1" applyBorder="1">
      <alignment/>
      <protection/>
    </xf>
    <xf numFmtId="3" fontId="1" fillId="0" borderId="21" xfId="99" applyNumberFormat="1" applyFont="1" applyBorder="1">
      <alignment/>
      <protection/>
    </xf>
    <xf numFmtId="3" fontId="12" fillId="0" borderId="100" xfId="0" applyNumberFormat="1" applyFont="1" applyBorder="1" applyAlignment="1">
      <alignment shrinkToFit="1"/>
    </xf>
    <xf numFmtId="3" fontId="64" fillId="0" borderId="100" xfId="0" applyNumberFormat="1" applyFont="1" applyBorder="1" applyAlignment="1">
      <alignment shrinkToFit="1"/>
    </xf>
    <xf numFmtId="3" fontId="64" fillId="0" borderId="23" xfId="99" applyNumberFormat="1" applyFont="1" applyBorder="1">
      <alignment/>
      <protection/>
    </xf>
    <xf numFmtId="3" fontId="12" fillId="0" borderId="101" xfId="99" applyNumberFormat="1" applyFont="1" applyBorder="1">
      <alignment/>
      <protection/>
    </xf>
    <xf numFmtId="3" fontId="12" fillId="0" borderId="37" xfId="99" applyNumberFormat="1" applyFont="1" applyBorder="1">
      <alignment/>
      <protection/>
    </xf>
    <xf numFmtId="3" fontId="1" fillId="0" borderId="23" xfId="99" applyNumberFormat="1" applyFont="1" applyBorder="1">
      <alignment/>
      <protection/>
    </xf>
    <xf numFmtId="3" fontId="1" fillId="0" borderId="56" xfId="99" applyNumberFormat="1" applyFont="1" applyBorder="1">
      <alignment/>
      <protection/>
    </xf>
    <xf numFmtId="3" fontId="11" fillId="0" borderId="102" xfId="99" applyNumberFormat="1" applyFont="1" applyBorder="1">
      <alignment/>
      <protection/>
    </xf>
    <xf numFmtId="3" fontId="11" fillId="0" borderId="32" xfId="99" applyNumberFormat="1" applyFont="1" applyBorder="1">
      <alignment/>
      <protection/>
    </xf>
    <xf numFmtId="3" fontId="11" fillId="0" borderId="75" xfId="99" applyNumberFormat="1" applyFont="1" applyBorder="1">
      <alignment/>
      <protection/>
    </xf>
    <xf numFmtId="3" fontId="11" fillId="0" borderId="76" xfId="99" applyNumberFormat="1" applyFont="1" applyBorder="1">
      <alignment/>
      <protection/>
    </xf>
    <xf numFmtId="3" fontId="11" fillId="0" borderId="103" xfId="99" applyNumberFormat="1" applyFont="1" applyBorder="1">
      <alignment/>
      <protection/>
    </xf>
    <xf numFmtId="3" fontId="11" fillId="0" borderId="74" xfId="99" applyNumberFormat="1" applyFont="1" applyBorder="1">
      <alignment/>
      <protection/>
    </xf>
    <xf numFmtId="3" fontId="1" fillId="0" borderId="0" xfId="99" applyNumberFormat="1" applyFont="1" applyBorder="1">
      <alignment/>
      <protection/>
    </xf>
    <xf numFmtId="3" fontId="1" fillId="0" borderId="41" xfId="99" applyNumberFormat="1" applyFont="1" applyBorder="1">
      <alignment/>
      <protection/>
    </xf>
    <xf numFmtId="3" fontId="11" fillId="0" borderId="104" xfId="99" applyNumberFormat="1" applyFont="1" applyBorder="1">
      <alignment/>
      <protection/>
    </xf>
    <xf numFmtId="3" fontId="11" fillId="0" borderId="53" xfId="99" applyNumberFormat="1" applyFont="1" applyBorder="1">
      <alignment/>
      <protection/>
    </xf>
    <xf numFmtId="3" fontId="11" fillId="0" borderId="15" xfId="99" applyNumberFormat="1" applyFont="1" applyBorder="1">
      <alignment/>
      <protection/>
    </xf>
    <xf numFmtId="3" fontId="11" fillId="0" borderId="43" xfId="99" applyNumberFormat="1" applyFont="1" applyBorder="1">
      <alignment/>
      <protection/>
    </xf>
    <xf numFmtId="3" fontId="11" fillId="0" borderId="100" xfId="99" applyNumberFormat="1" applyFont="1" applyBorder="1">
      <alignment/>
      <protection/>
    </xf>
    <xf numFmtId="3" fontId="11" fillId="0" borderId="21" xfId="99" applyNumberFormat="1" applyFont="1" applyBorder="1">
      <alignment/>
      <protection/>
    </xf>
    <xf numFmtId="3" fontId="11" fillId="0" borderId="18" xfId="99" applyNumberFormat="1" applyFont="1" applyBorder="1">
      <alignment/>
      <protection/>
    </xf>
    <xf numFmtId="3" fontId="11" fillId="0" borderId="26" xfId="99" applyNumberFormat="1" applyFont="1" applyBorder="1">
      <alignment/>
      <protection/>
    </xf>
    <xf numFmtId="3" fontId="12" fillId="0" borderId="100" xfId="99" applyNumberFormat="1" applyFont="1" applyBorder="1" applyAlignment="1">
      <alignment wrapText="1"/>
      <protection/>
    </xf>
    <xf numFmtId="3" fontId="12" fillId="0" borderId="21" xfId="99" applyNumberFormat="1" applyFont="1" applyBorder="1">
      <alignment/>
      <protection/>
    </xf>
    <xf numFmtId="3" fontId="12" fillId="0" borderId="56" xfId="99" applyNumberFormat="1" applyFont="1" applyBorder="1">
      <alignment/>
      <protection/>
    </xf>
    <xf numFmtId="3" fontId="11" fillId="0" borderId="102" xfId="0" applyNumberFormat="1" applyFont="1" applyBorder="1" applyAlignment="1">
      <alignment/>
    </xf>
    <xf numFmtId="3" fontId="11" fillId="0" borderId="32" xfId="0" applyNumberFormat="1" applyFont="1" applyBorder="1" applyAlignment="1">
      <alignment/>
    </xf>
    <xf numFmtId="3" fontId="11" fillId="0" borderId="75" xfId="0" applyNumberFormat="1" applyFont="1" applyBorder="1" applyAlignment="1">
      <alignment/>
    </xf>
    <xf numFmtId="3" fontId="11" fillId="0" borderId="76" xfId="0" applyNumberFormat="1" applyFont="1" applyBorder="1" applyAlignment="1">
      <alignment/>
    </xf>
    <xf numFmtId="3" fontId="11" fillId="0" borderId="32" xfId="99" applyNumberFormat="1" applyFont="1" applyBorder="1">
      <alignment/>
      <protection/>
    </xf>
    <xf numFmtId="3" fontId="11" fillId="0" borderId="74" xfId="99" applyNumberFormat="1" applyFont="1" applyBorder="1">
      <alignment/>
      <protection/>
    </xf>
    <xf numFmtId="3" fontId="12" fillId="0" borderId="0" xfId="0" applyNumberFormat="1" applyFont="1" applyAlignment="1">
      <alignment/>
    </xf>
    <xf numFmtId="3" fontId="12" fillId="0" borderId="0" xfId="99" applyNumberFormat="1" applyFont="1" applyBorder="1">
      <alignment/>
      <protection/>
    </xf>
    <xf numFmtId="3" fontId="2" fillId="0" borderId="0" xfId="99" applyNumberFormat="1" applyFont="1" applyAlignment="1">
      <alignment horizontal="left"/>
      <protection/>
    </xf>
    <xf numFmtId="3" fontId="12" fillId="0" borderId="0" xfId="99" applyNumberFormat="1" applyFont="1" applyAlignment="1" quotePrefix="1">
      <alignment horizontal="left"/>
      <protection/>
    </xf>
    <xf numFmtId="3" fontId="12" fillId="0" borderId="0" xfId="99" applyNumberFormat="1" applyFont="1" applyAlignment="1">
      <alignment/>
      <protection/>
    </xf>
    <xf numFmtId="3" fontId="11" fillId="0" borderId="0" xfId="99" applyNumberFormat="1" applyFont="1" applyAlignment="1" quotePrefix="1">
      <alignment horizontal="center"/>
      <protection/>
    </xf>
    <xf numFmtId="3" fontId="11" fillId="0" borderId="16" xfId="99" applyNumberFormat="1" applyFont="1" applyBorder="1" applyAlignment="1">
      <alignment horizontal="centerContinuous"/>
      <protection/>
    </xf>
    <xf numFmtId="3" fontId="11" fillId="0" borderId="17" xfId="0" applyNumberFormat="1" applyFont="1" applyBorder="1" applyAlignment="1">
      <alignment horizontal="center" vertical="center" wrapText="1"/>
    </xf>
    <xf numFmtId="3" fontId="11" fillId="0" borderId="105" xfId="99" applyNumberFormat="1" applyFont="1" applyBorder="1" applyAlignment="1">
      <alignment horizontal="centerContinuous"/>
      <protection/>
    </xf>
    <xf numFmtId="3" fontId="11" fillId="0" borderId="46" xfId="99" applyNumberFormat="1" applyFont="1" applyBorder="1" applyAlignment="1">
      <alignment horizontal="center" vertical="center"/>
      <protection/>
    </xf>
    <xf numFmtId="3" fontId="12" fillId="0" borderId="39" xfId="99" applyNumberFormat="1" applyFont="1" applyBorder="1">
      <alignment/>
      <protection/>
    </xf>
    <xf numFmtId="3" fontId="12" fillId="0" borderId="40" xfId="99" applyNumberFormat="1" applyFont="1" applyBorder="1">
      <alignment/>
      <protection/>
    </xf>
    <xf numFmtId="3" fontId="12" fillId="0" borderId="100" xfId="99" applyNumberFormat="1" applyFont="1" applyBorder="1" applyAlignment="1">
      <alignment horizontal="left"/>
      <protection/>
    </xf>
    <xf numFmtId="3" fontId="12" fillId="0" borderId="13" xfId="99" applyNumberFormat="1" applyFont="1" applyBorder="1">
      <alignment/>
      <protection/>
    </xf>
    <xf numFmtId="3" fontId="64" fillId="0" borderId="100" xfId="99" applyNumberFormat="1" applyFont="1" applyBorder="1">
      <alignment/>
      <protection/>
    </xf>
    <xf numFmtId="3" fontId="64" fillId="0" borderId="21" xfId="99" applyNumberFormat="1" applyFont="1" applyBorder="1">
      <alignment/>
      <protection/>
    </xf>
    <xf numFmtId="3" fontId="64" fillId="0" borderId="40" xfId="99" applyNumberFormat="1" applyFont="1" applyBorder="1">
      <alignment/>
      <protection/>
    </xf>
    <xf numFmtId="3" fontId="64" fillId="0" borderId="26" xfId="99" applyNumberFormat="1" applyFont="1" applyBorder="1">
      <alignment/>
      <protection/>
    </xf>
    <xf numFmtId="3" fontId="12" fillId="0" borderId="100" xfId="99" applyNumberFormat="1" applyFont="1" applyBorder="1">
      <alignment/>
      <protection/>
    </xf>
    <xf numFmtId="3" fontId="12" fillId="0" borderId="40" xfId="99" applyNumberFormat="1" applyFont="1" applyBorder="1">
      <alignment/>
      <protection/>
    </xf>
    <xf numFmtId="3" fontId="12" fillId="0" borderId="26" xfId="99" applyNumberFormat="1" applyFont="1" applyBorder="1">
      <alignment/>
      <protection/>
    </xf>
    <xf numFmtId="3" fontId="1" fillId="0" borderId="18" xfId="99" applyNumberFormat="1" applyFont="1" applyBorder="1">
      <alignment/>
      <protection/>
    </xf>
    <xf numFmtId="3" fontId="1" fillId="0" borderId="26" xfId="99" applyNumberFormat="1" applyFont="1" applyBorder="1">
      <alignment/>
      <protection/>
    </xf>
    <xf numFmtId="3" fontId="1" fillId="0" borderId="0" xfId="99" applyNumberFormat="1" applyFont="1">
      <alignment/>
      <protection/>
    </xf>
    <xf numFmtId="3" fontId="64" fillId="0" borderId="40" xfId="99" applyNumberFormat="1" applyFont="1" applyBorder="1">
      <alignment/>
      <protection/>
    </xf>
    <xf numFmtId="3" fontId="12" fillId="0" borderId="101" xfId="99" applyNumberFormat="1" applyFont="1" applyBorder="1">
      <alignment/>
      <protection/>
    </xf>
    <xf numFmtId="3" fontId="12" fillId="0" borderId="37" xfId="99" applyNumberFormat="1" applyFont="1" applyBorder="1">
      <alignment/>
      <protection/>
    </xf>
    <xf numFmtId="3" fontId="12" fillId="0" borderId="41" xfId="99" applyNumberFormat="1" applyFont="1" applyBorder="1">
      <alignment/>
      <protection/>
    </xf>
    <xf numFmtId="3" fontId="11" fillId="0" borderId="41" xfId="99" applyNumberFormat="1" applyFont="1" applyBorder="1">
      <alignment/>
      <protection/>
    </xf>
    <xf numFmtId="3" fontId="11" fillId="0" borderId="56" xfId="99" applyNumberFormat="1" applyFont="1" applyBorder="1">
      <alignment/>
      <protection/>
    </xf>
    <xf numFmtId="3" fontId="64" fillId="0" borderId="101" xfId="99" applyNumberFormat="1" applyFont="1" applyBorder="1">
      <alignment/>
      <protection/>
    </xf>
    <xf numFmtId="3" fontId="64" fillId="0" borderId="37" xfId="99" applyNumberFormat="1" applyFont="1" applyBorder="1">
      <alignment/>
      <protection/>
    </xf>
    <xf numFmtId="3" fontId="12" fillId="0" borderId="106" xfId="99" applyNumberFormat="1" applyFont="1" applyBorder="1">
      <alignment/>
      <protection/>
    </xf>
    <xf numFmtId="3" fontId="64" fillId="0" borderId="107" xfId="99" applyNumberFormat="1" applyFont="1" applyBorder="1">
      <alignment/>
      <protection/>
    </xf>
    <xf numFmtId="3" fontId="12" fillId="0" borderId="46" xfId="99" applyNumberFormat="1" applyFont="1" applyBorder="1">
      <alignment/>
      <protection/>
    </xf>
    <xf numFmtId="3" fontId="12" fillId="0" borderId="108" xfId="99" applyNumberFormat="1" applyFont="1" applyBorder="1">
      <alignment/>
      <protection/>
    </xf>
    <xf numFmtId="3" fontId="11" fillId="0" borderId="102" xfId="99" applyNumberFormat="1" applyFont="1" applyBorder="1">
      <alignment/>
      <protection/>
    </xf>
    <xf numFmtId="3" fontId="11" fillId="0" borderId="76" xfId="99" applyNumberFormat="1" applyFont="1" applyBorder="1">
      <alignment/>
      <protection/>
    </xf>
    <xf numFmtId="3" fontId="11" fillId="0" borderId="99" xfId="99" applyNumberFormat="1" applyFont="1" applyBorder="1">
      <alignment/>
      <protection/>
    </xf>
    <xf numFmtId="3" fontId="11" fillId="0" borderId="22" xfId="99" applyNumberFormat="1" applyFont="1" applyBorder="1">
      <alignment/>
      <protection/>
    </xf>
    <xf numFmtId="3" fontId="11" fillId="0" borderId="39" xfId="99" applyNumberFormat="1" applyFont="1" applyBorder="1">
      <alignment/>
      <protection/>
    </xf>
    <xf numFmtId="3" fontId="11" fillId="0" borderId="43" xfId="99" applyNumberFormat="1" applyFont="1" applyBorder="1">
      <alignment/>
      <protection/>
    </xf>
    <xf numFmtId="3" fontId="2" fillId="0" borderId="99" xfId="99" applyNumberFormat="1" applyFont="1" applyBorder="1">
      <alignment/>
      <protection/>
    </xf>
    <xf numFmtId="3" fontId="2" fillId="0" borderId="22" xfId="99" applyNumberFormat="1" applyFont="1" applyBorder="1">
      <alignment/>
      <protection/>
    </xf>
    <xf numFmtId="3" fontId="11" fillId="0" borderId="100" xfId="99" applyNumberFormat="1" applyFont="1" applyBorder="1">
      <alignment/>
      <protection/>
    </xf>
    <xf numFmtId="3" fontId="11" fillId="0" borderId="21" xfId="99" applyNumberFormat="1" applyFont="1" applyBorder="1">
      <alignment/>
      <protection/>
    </xf>
    <xf numFmtId="3" fontId="12" fillId="0" borderId="41" xfId="99" applyNumberFormat="1" applyFont="1" applyBorder="1">
      <alignment/>
      <protection/>
    </xf>
    <xf numFmtId="3" fontId="12" fillId="0" borderId="56" xfId="99" applyNumberFormat="1" applyFont="1" applyBorder="1">
      <alignment/>
      <protection/>
    </xf>
    <xf numFmtId="3" fontId="11" fillId="0" borderId="98" xfId="99" applyNumberFormat="1" applyFont="1" applyBorder="1" applyAlignment="1">
      <alignment wrapText="1"/>
      <protection/>
    </xf>
    <xf numFmtId="3" fontId="11" fillId="0" borderId="24" xfId="99" applyNumberFormat="1" applyFont="1" applyBorder="1">
      <alignment/>
      <protection/>
    </xf>
    <xf numFmtId="3" fontId="2" fillId="0" borderId="23" xfId="99" applyNumberFormat="1" applyFont="1" applyBorder="1">
      <alignment/>
      <protection/>
    </xf>
    <xf numFmtId="3" fontId="11" fillId="0" borderId="0" xfId="99" applyNumberFormat="1" applyFont="1" applyBorder="1">
      <alignment/>
      <protection/>
    </xf>
    <xf numFmtId="3" fontId="2" fillId="0" borderId="0" xfId="99" applyNumberFormat="1" applyFont="1" applyBorder="1">
      <alignment/>
      <protection/>
    </xf>
    <xf numFmtId="3" fontId="1" fillId="0" borderId="0" xfId="99" applyNumberFormat="1" applyFont="1" applyAlignment="1">
      <alignment horizontal="right"/>
      <protection/>
    </xf>
    <xf numFmtId="3" fontId="65" fillId="0" borderId="0" xfId="99" applyNumberFormat="1" applyFont="1">
      <alignment/>
      <protection/>
    </xf>
    <xf numFmtId="3" fontId="65" fillId="0" borderId="0" xfId="99" applyNumberFormat="1" applyFont="1" applyAlignment="1">
      <alignment/>
      <protection/>
    </xf>
    <xf numFmtId="0" fontId="17" fillId="0" borderId="0" xfId="103" applyFont="1" applyAlignment="1">
      <alignment horizontal="center"/>
      <protection/>
    </xf>
    <xf numFmtId="3" fontId="12" fillId="0" borderId="107" xfId="99" applyNumberFormat="1" applyFont="1" applyBorder="1" applyAlignment="1">
      <alignment wrapText="1"/>
      <protection/>
    </xf>
    <xf numFmtId="3" fontId="12" fillId="0" borderId="109" xfId="99" applyNumberFormat="1" applyFont="1" applyBorder="1">
      <alignment/>
      <protection/>
    </xf>
    <xf numFmtId="3" fontId="12" fillId="0" borderId="44" xfId="99" applyNumberFormat="1" applyFont="1" applyBorder="1">
      <alignment/>
      <protection/>
    </xf>
    <xf numFmtId="3" fontId="12" fillId="0" borderId="108" xfId="99" applyNumberFormat="1" applyFont="1" applyBorder="1">
      <alignment/>
      <protection/>
    </xf>
    <xf numFmtId="3" fontId="11" fillId="0" borderId="107" xfId="99" applyNumberFormat="1" applyFont="1" applyBorder="1">
      <alignment/>
      <protection/>
    </xf>
    <xf numFmtId="3" fontId="11" fillId="0" borderId="109" xfId="99" applyNumberFormat="1" applyFont="1" applyBorder="1">
      <alignment/>
      <protection/>
    </xf>
    <xf numFmtId="3" fontId="1" fillId="0" borderId="108" xfId="99" applyNumberFormat="1" applyFont="1" applyBorder="1">
      <alignment/>
      <protection/>
    </xf>
    <xf numFmtId="3" fontId="12" fillId="0" borderId="18" xfId="99" applyNumberFormat="1" applyFont="1" applyBorder="1">
      <alignment/>
      <protection/>
    </xf>
    <xf numFmtId="3" fontId="12" fillId="0" borderId="105" xfId="99" applyNumberFormat="1" applyFont="1" applyBorder="1">
      <alignment/>
      <protection/>
    </xf>
    <xf numFmtId="3" fontId="64" fillId="0" borderId="46" xfId="99" applyNumberFormat="1" applyFont="1" applyBorder="1">
      <alignment/>
      <protection/>
    </xf>
    <xf numFmtId="3" fontId="64" fillId="0" borderId="91" xfId="99" applyNumberFormat="1" applyFont="1" applyBorder="1">
      <alignment/>
      <protection/>
    </xf>
    <xf numFmtId="3" fontId="64" fillId="0" borderId="108" xfId="99" applyNumberFormat="1" applyFont="1" applyBorder="1">
      <alignment/>
      <protection/>
    </xf>
    <xf numFmtId="3" fontId="12" fillId="0" borderId="16" xfId="99" applyNumberFormat="1" applyFont="1" applyBorder="1">
      <alignment/>
      <protection/>
    </xf>
    <xf numFmtId="3" fontId="12" fillId="0" borderId="104" xfId="99" applyNumberFormat="1" applyFont="1" applyBorder="1">
      <alignment/>
      <protection/>
    </xf>
    <xf numFmtId="3" fontId="2" fillId="0" borderId="76" xfId="99" applyNumberFormat="1" applyFont="1" applyBorder="1">
      <alignment/>
      <protection/>
    </xf>
    <xf numFmtId="3" fontId="2" fillId="0" borderId="56" xfId="99" applyNumberFormat="1" applyFont="1" applyBorder="1">
      <alignment/>
      <protection/>
    </xf>
    <xf numFmtId="3" fontId="1" fillId="0" borderId="0" xfId="94" applyNumberFormat="1" applyFont="1" applyAlignment="1">
      <alignment/>
      <protection/>
    </xf>
    <xf numFmtId="0" fontId="0" fillId="0" borderId="0" xfId="94">
      <alignment/>
      <protection/>
    </xf>
    <xf numFmtId="0" fontId="1" fillId="0" borderId="0" xfId="94" applyFont="1">
      <alignment/>
      <protection/>
    </xf>
    <xf numFmtId="0" fontId="17" fillId="0" borderId="0" xfId="94" applyFont="1" applyAlignment="1">
      <alignment horizontal="center"/>
      <protection/>
    </xf>
    <xf numFmtId="0" fontId="0" fillId="0" borderId="0" xfId="94" applyAlignment="1">
      <alignment/>
      <protection/>
    </xf>
    <xf numFmtId="0" fontId="1" fillId="0" borderId="0" xfId="94" applyFont="1" applyAlignment="1">
      <alignment horizontal="center"/>
      <protection/>
    </xf>
    <xf numFmtId="3" fontId="1" fillId="0" borderId="0" xfId="94" applyNumberFormat="1" applyFont="1" applyAlignment="1">
      <alignment horizontal="center"/>
      <protection/>
    </xf>
    <xf numFmtId="0" fontId="1" fillId="0" borderId="0" xfId="94" applyFont="1" applyAlignment="1">
      <alignment horizontal="right"/>
      <protection/>
    </xf>
    <xf numFmtId="0" fontId="1" fillId="0" borderId="57" xfId="94" applyFont="1" applyBorder="1" applyAlignment="1">
      <alignment horizontal="justify" vertical="center"/>
      <protection/>
    </xf>
    <xf numFmtId="3" fontId="1" fillId="0" borderId="57" xfId="94" applyNumberFormat="1" applyFont="1" applyBorder="1" applyAlignment="1">
      <alignment vertical="center" wrapText="1"/>
      <protection/>
    </xf>
    <xf numFmtId="0" fontId="1" fillId="0" borderId="57" xfId="94" applyFont="1" applyBorder="1" applyAlignment="1">
      <alignment horizontal="justify" vertical="center" wrapText="1"/>
      <protection/>
    </xf>
    <xf numFmtId="0" fontId="17" fillId="0" borderId="57" xfId="94" applyFont="1" applyBorder="1" applyAlignment="1">
      <alignment vertical="center"/>
      <protection/>
    </xf>
    <xf numFmtId="3" fontId="2" fillId="0" borderId="57" xfId="94" applyNumberFormat="1" applyFont="1" applyBorder="1" applyAlignment="1">
      <alignment vertical="center" wrapText="1"/>
      <protection/>
    </xf>
    <xf numFmtId="0" fontId="2" fillId="0" borderId="57" xfId="94" applyFont="1" applyBorder="1" applyAlignment="1">
      <alignment horizontal="justify" vertical="center" wrapText="1"/>
      <protection/>
    </xf>
    <xf numFmtId="3" fontId="2" fillId="0" borderId="57" xfId="94" applyNumberFormat="1" applyFont="1" applyFill="1" applyBorder="1" applyAlignment="1">
      <alignment vertical="center" wrapText="1"/>
      <protection/>
    </xf>
    <xf numFmtId="0" fontId="2" fillId="0" borderId="57" xfId="94" applyFont="1" applyBorder="1" applyAlignment="1">
      <alignment vertical="center" wrapText="1"/>
      <protection/>
    </xf>
    <xf numFmtId="0" fontId="1" fillId="0" borderId="57" xfId="94" applyFont="1" applyFill="1" applyBorder="1" applyAlignment="1">
      <alignment horizontal="justify" vertical="center" wrapText="1"/>
      <protection/>
    </xf>
    <xf numFmtId="3" fontId="1" fillId="0" borderId="57" xfId="94" applyNumberFormat="1" applyFont="1" applyBorder="1" applyAlignment="1">
      <alignment vertical="center"/>
      <protection/>
    </xf>
    <xf numFmtId="0" fontId="0" fillId="0" borderId="0" xfId="103" applyAlignment="1">
      <alignment/>
      <protection/>
    </xf>
    <xf numFmtId="3" fontId="1" fillId="0" borderId="0" xfId="103" applyNumberFormat="1" applyFont="1" applyAlignment="1">
      <alignment/>
      <protection/>
    </xf>
    <xf numFmtId="0" fontId="17" fillId="0" borderId="0" xfId="103" applyFont="1" applyAlignment="1">
      <alignment horizontal="centerContinuous"/>
      <protection/>
    </xf>
    <xf numFmtId="0" fontId="1" fillId="0" borderId="0" xfId="103" applyFont="1" applyAlignment="1">
      <alignment horizontal="centerContinuous"/>
      <protection/>
    </xf>
    <xf numFmtId="0" fontId="1" fillId="0" borderId="0" xfId="103" applyFont="1" applyAlignment="1">
      <alignment horizontal="right"/>
      <protection/>
    </xf>
    <xf numFmtId="3" fontId="1" fillId="0" borderId="19" xfId="103" applyNumberFormat="1" applyFont="1" applyFill="1" applyBorder="1" applyAlignment="1">
      <alignment wrapText="1"/>
      <protection/>
    </xf>
    <xf numFmtId="3" fontId="1" fillId="0" borderId="19" xfId="103" applyNumberFormat="1" applyFont="1" applyBorder="1" applyAlignment="1">
      <alignment wrapText="1"/>
      <protection/>
    </xf>
    <xf numFmtId="3" fontId="2" fillId="0" borderId="19" xfId="103" applyNumberFormat="1" applyFont="1" applyFill="1" applyBorder="1" applyAlignment="1">
      <alignment wrapText="1"/>
      <protection/>
    </xf>
    <xf numFmtId="0" fontId="0" fillId="0" borderId="0" xfId="103" applyFont="1">
      <alignment/>
      <protection/>
    </xf>
    <xf numFmtId="3" fontId="1" fillId="0" borderId="19" xfId="103" applyNumberFormat="1" applyFont="1" applyFill="1" applyBorder="1">
      <alignment/>
      <protection/>
    </xf>
    <xf numFmtId="0" fontId="2" fillId="0" borderId="53" xfId="103" applyFont="1" applyBorder="1" applyAlignment="1">
      <alignment horizontal="center" vertical="center" wrapText="1"/>
      <protection/>
    </xf>
    <xf numFmtId="3" fontId="2" fillId="0" borderId="54" xfId="103" applyNumberFormat="1" applyFont="1" applyBorder="1" applyAlignment="1">
      <alignment horizontal="center" vertical="top" wrapText="1"/>
      <protection/>
    </xf>
    <xf numFmtId="3" fontId="2" fillId="0" borderId="33" xfId="103" applyNumberFormat="1" applyFont="1" applyBorder="1" applyAlignment="1">
      <alignment horizontal="center" vertical="top" wrapText="1"/>
      <protection/>
    </xf>
    <xf numFmtId="0" fontId="1" fillId="0" borderId="21" xfId="103" applyFont="1" applyBorder="1" applyAlignment="1">
      <alignment horizontal="justify"/>
      <protection/>
    </xf>
    <xf numFmtId="3" fontId="1" fillId="0" borderId="26" xfId="103" applyNumberFormat="1" applyFont="1" applyBorder="1" applyAlignment="1">
      <alignment wrapText="1"/>
      <protection/>
    </xf>
    <xf numFmtId="0" fontId="1" fillId="0" borderId="21" xfId="103" applyFont="1" applyBorder="1" applyAlignment="1">
      <alignment horizontal="justify" wrapText="1"/>
      <protection/>
    </xf>
    <xf numFmtId="0" fontId="2" fillId="0" borderId="21" xfId="103" applyFont="1" applyBorder="1" applyAlignment="1">
      <alignment horizontal="justify" vertical="top"/>
      <protection/>
    </xf>
    <xf numFmtId="3" fontId="2" fillId="0" borderId="26" xfId="103" applyNumberFormat="1" applyFont="1" applyFill="1" applyBorder="1" applyAlignment="1">
      <alignment wrapText="1"/>
      <protection/>
    </xf>
    <xf numFmtId="0" fontId="1" fillId="0" borderId="21" xfId="103" applyFont="1" applyBorder="1" applyAlignment="1">
      <alignment horizontal="justify" vertical="top"/>
      <protection/>
    </xf>
    <xf numFmtId="0" fontId="1" fillId="0" borderId="21" xfId="103" applyFont="1" applyBorder="1" applyAlignment="1">
      <alignment vertical="top"/>
      <protection/>
    </xf>
    <xf numFmtId="0" fontId="2" fillId="0" borderId="21" xfId="103" applyFont="1" applyBorder="1" applyAlignment="1">
      <alignment horizontal="justify" wrapText="1"/>
      <protection/>
    </xf>
    <xf numFmtId="0" fontId="1" fillId="0" borderId="21" xfId="103" applyFont="1" applyBorder="1" applyAlignment="1">
      <alignment vertical="top" wrapText="1"/>
      <protection/>
    </xf>
    <xf numFmtId="3" fontId="1" fillId="0" borderId="26" xfId="103" applyNumberFormat="1" applyFont="1" applyFill="1" applyBorder="1" applyAlignment="1">
      <alignment wrapText="1"/>
      <protection/>
    </xf>
    <xf numFmtId="0" fontId="1" fillId="0" borderId="21" xfId="103" applyFont="1" applyFill="1" applyBorder="1" applyAlignment="1">
      <alignment horizontal="justify" wrapText="1"/>
      <protection/>
    </xf>
    <xf numFmtId="3" fontId="1" fillId="0" borderId="26" xfId="103" applyNumberFormat="1" applyFont="1" applyBorder="1">
      <alignment/>
      <protection/>
    </xf>
    <xf numFmtId="0" fontId="17" fillId="0" borderId="24" xfId="103" applyFont="1" applyFill="1" applyBorder="1" applyAlignment="1">
      <alignment horizontal="justify" wrapText="1"/>
      <protection/>
    </xf>
    <xf numFmtId="3" fontId="2" fillId="0" borderId="25" xfId="103" applyNumberFormat="1" applyFont="1" applyFill="1" applyBorder="1">
      <alignment/>
      <protection/>
    </xf>
    <xf numFmtId="3" fontId="2" fillId="0" borderId="27" xfId="103" applyNumberFormat="1" applyFont="1" applyFill="1" applyBorder="1">
      <alignment/>
      <protection/>
    </xf>
    <xf numFmtId="3" fontId="0" fillId="0" borderId="0" xfId="103" applyNumberFormat="1" applyFont="1">
      <alignment/>
      <protection/>
    </xf>
    <xf numFmtId="0" fontId="1" fillId="0" borderId="0" xfId="103" applyFont="1" applyAlignment="1">
      <alignment horizontal="center"/>
      <protection/>
    </xf>
    <xf numFmtId="0" fontId="0" fillId="0" borderId="0" xfId="103" applyAlignment="1">
      <alignment horizontal="center"/>
      <protection/>
    </xf>
    <xf numFmtId="0" fontId="2" fillId="0" borderId="110" xfId="103" applyFont="1" applyBorder="1" applyAlignment="1">
      <alignment horizontal="center"/>
      <protection/>
    </xf>
    <xf numFmtId="0" fontId="1" fillId="0" borderId="14" xfId="103" applyFont="1" applyBorder="1">
      <alignment/>
      <protection/>
    </xf>
    <xf numFmtId="3" fontId="1" fillId="0" borderId="14" xfId="103" applyNumberFormat="1" applyFont="1" applyBorder="1">
      <alignment/>
      <protection/>
    </xf>
    <xf numFmtId="0" fontId="2" fillId="0" borderId="19" xfId="103" applyFont="1" applyBorder="1">
      <alignment/>
      <protection/>
    </xf>
    <xf numFmtId="3" fontId="2" fillId="0" borderId="19" xfId="103" applyNumberFormat="1" applyFont="1" applyBorder="1">
      <alignment/>
      <protection/>
    </xf>
    <xf numFmtId="0" fontId="0" fillId="0" borderId="0" xfId="103" applyFont="1">
      <alignment/>
      <protection/>
    </xf>
    <xf numFmtId="49" fontId="1" fillId="0" borderId="19" xfId="103" applyNumberFormat="1" applyFont="1" applyBorder="1">
      <alignment/>
      <protection/>
    </xf>
    <xf numFmtId="0" fontId="17" fillId="0" borderId="19" xfId="103" applyFont="1" applyBorder="1">
      <alignment/>
      <protection/>
    </xf>
    <xf numFmtId="0" fontId="17" fillId="0" borderId="19" xfId="103" applyFont="1" applyBorder="1" applyAlignment="1">
      <alignment/>
      <protection/>
    </xf>
    <xf numFmtId="3" fontId="2" fillId="0" borderId="19" xfId="103" applyNumberFormat="1" applyFont="1" applyBorder="1" applyAlignment="1">
      <alignment/>
      <protection/>
    </xf>
    <xf numFmtId="0" fontId="1" fillId="0" borderId="19" xfId="103" applyFont="1" applyBorder="1" applyAlignment="1">
      <alignment wrapText="1"/>
      <protection/>
    </xf>
    <xf numFmtId="0" fontId="0" fillId="0" borderId="0" xfId="103" applyFill="1">
      <alignment/>
      <protection/>
    </xf>
    <xf numFmtId="0" fontId="2" fillId="0" borderId="19" xfId="103" applyFont="1" applyBorder="1" applyAlignment="1">
      <alignment wrapText="1"/>
      <protection/>
    </xf>
    <xf numFmtId="0" fontId="17" fillId="0" borderId="20" xfId="103" applyFont="1" applyBorder="1" applyAlignment="1">
      <alignment/>
      <protection/>
    </xf>
    <xf numFmtId="3" fontId="2" fillId="0" borderId="20" xfId="103" applyNumberFormat="1" applyFont="1" applyBorder="1" applyAlignment="1">
      <alignment/>
      <protection/>
    </xf>
    <xf numFmtId="0" fontId="2" fillId="0" borderId="19" xfId="103" applyFont="1" applyBorder="1" applyAlignment="1">
      <alignment vertical="center" wrapText="1"/>
      <protection/>
    </xf>
    <xf numFmtId="3" fontId="17" fillId="0" borderId="19" xfId="103" applyNumberFormat="1" applyFont="1" applyBorder="1">
      <alignment/>
      <protection/>
    </xf>
    <xf numFmtId="0" fontId="2" fillId="0" borderId="111" xfId="103" applyFont="1" applyBorder="1" applyAlignment="1">
      <alignment horizontal="center"/>
      <protection/>
    </xf>
    <xf numFmtId="0" fontId="2" fillId="0" borderId="112" xfId="103" applyFont="1" applyBorder="1" applyAlignment="1">
      <alignment horizontal="center"/>
      <protection/>
    </xf>
    <xf numFmtId="3" fontId="2" fillId="0" borderId="112" xfId="103" applyNumberFormat="1" applyFont="1" applyBorder="1" applyAlignment="1">
      <alignment horizontal="center"/>
      <protection/>
    </xf>
    <xf numFmtId="3" fontId="2" fillId="0" borderId="113" xfId="103" applyNumberFormat="1" applyFont="1" applyBorder="1" applyAlignment="1">
      <alignment horizontal="center"/>
      <protection/>
    </xf>
    <xf numFmtId="0" fontId="2" fillId="0" borderId="114" xfId="103" applyFont="1" applyBorder="1" applyAlignment="1">
      <alignment horizontal="center"/>
      <protection/>
    </xf>
    <xf numFmtId="3" fontId="2" fillId="0" borderId="115" xfId="103" applyNumberFormat="1" applyFont="1" applyBorder="1" applyAlignment="1">
      <alignment horizontal="center"/>
      <protection/>
    </xf>
    <xf numFmtId="0" fontId="1" fillId="0" borderId="22" xfId="103" applyFont="1" applyBorder="1" applyAlignment="1">
      <alignment horizontal="center"/>
      <protection/>
    </xf>
    <xf numFmtId="3" fontId="1" fillId="0" borderId="43" xfId="103" applyNumberFormat="1" applyFont="1" applyBorder="1">
      <alignment/>
      <protection/>
    </xf>
    <xf numFmtId="0" fontId="1" fillId="0" borderId="21" xfId="103" applyFont="1" applyBorder="1" applyAlignment="1">
      <alignment horizontal="center"/>
      <protection/>
    </xf>
    <xf numFmtId="0" fontId="2" fillId="0" borderId="21" xfId="103" applyFont="1" applyBorder="1" applyAlignment="1">
      <alignment horizontal="center"/>
      <protection/>
    </xf>
    <xf numFmtId="3" fontId="2" fillId="0" borderId="26" xfId="103" applyNumberFormat="1" applyFont="1" applyBorder="1">
      <alignment/>
      <protection/>
    </xf>
    <xf numFmtId="3" fontId="2" fillId="0" borderId="26" xfId="103" applyNumberFormat="1" applyFont="1" applyBorder="1" applyAlignment="1">
      <alignment/>
      <protection/>
    </xf>
    <xf numFmtId="0" fontId="1" fillId="0" borderId="21" xfId="103" applyFont="1" applyBorder="1" applyAlignment="1">
      <alignment horizontal="center" vertical="top"/>
      <protection/>
    </xf>
    <xf numFmtId="0" fontId="2" fillId="0" borderId="21" xfId="103" applyFont="1" applyBorder="1" applyAlignment="1">
      <alignment horizontal="center" vertical="center"/>
      <protection/>
    </xf>
    <xf numFmtId="0" fontId="2" fillId="0" borderId="37" xfId="103" applyFont="1" applyBorder="1" applyAlignment="1">
      <alignment horizontal="center"/>
      <protection/>
    </xf>
    <xf numFmtId="3" fontId="2" fillId="0" borderId="56" xfId="103" applyNumberFormat="1" applyFont="1" applyBorder="1" applyAlignment="1">
      <alignment/>
      <protection/>
    </xf>
    <xf numFmtId="0" fontId="2" fillId="0" borderId="24" xfId="103" applyFont="1" applyBorder="1" applyAlignment="1">
      <alignment horizontal="center"/>
      <protection/>
    </xf>
    <xf numFmtId="0" fontId="2" fillId="0" borderId="25" xfId="103" applyFont="1" applyBorder="1">
      <alignment/>
      <protection/>
    </xf>
    <xf numFmtId="3" fontId="2" fillId="0" borderId="25" xfId="103" applyNumberFormat="1" applyFont="1" applyBorder="1">
      <alignment/>
      <protection/>
    </xf>
    <xf numFmtId="3" fontId="2" fillId="0" borderId="27" xfId="103" applyNumberFormat="1" applyFont="1" applyBorder="1">
      <alignment/>
      <protection/>
    </xf>
    <xf numFmtId="0" fontId="2" fillId="0" borderId="53" xfId="0" applyFont="1" applyBorder="1" applyAlignment="1">
      <alignment horizontal="left"/>
    </xf>
    <xf numFmtId="0" fontId="0" fillId="0" borderId="33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3" fontId="1" fillId="0" borderId="43" xfId="0" applyNumberFormat="1" applyFont="1" applyBorder="1" applyAlignment="1">
      <alignment/>
    </xf>
    <xf numFmtId="3" fontId="1" fillId="0" borderId="26" xfId="0" applyNumberFormat="1" applyFont="1" applyBorder="1" applyAlignment="1">
      <alignment horizontal="right"/>
    </xf>
    <xf numFmtId="3" fontId="1" fillId="0" borderId="56" xfId="0" applyNumberFormat="1" applyFont="1" applyBorder="1" applyAlignment="1">
      <alignment/>
    </xf>
    <xf numFmtId="0" fontId="1" fillId="0" borderId="37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104" xfId="103" applyFont="1" applyBorder="1" applyAlignment="1">
      <alignment horizontal="center" vertical="center" wrapText="1"/>
      <protection/>
    </xf>
    <xf numFmtId="0" fontId="1" fillId="0" borderId="100" xfId="103" applyFont="1" applyBorder="1" applyAlignment="1">
      <alignment horizontal="center" vertical="center"/>
      <protection/>
    </xf>
    <xf numFmtId="0" fontId="2" fillId="0" borderId="100" xfId="103" applyFont="1" applyBorder="1" applyAlignment="1">
      <alignment horizontal="center" vertical="center"/>
      <protection/>
    </xf>
    <xf numFmtId="0" fontId="1" fillId="0" borderId="100" xfId="103" applyFont="1" applyFill="1" applyBorder="1" applyAlignment="1">
      <alignment horizontal="center" vertical="center"/>
      <protection/>
    </xf>
    <xf numFmtId="0" fontId="17" fillId="0" borderId="98" xfId="103" applyFont="1" applyBorder="1" applyAlignment="1">
      <alignment horizontal="center"/>
      <protection/>
    </xf>
    <xf numFmtId="0" fontId="2" fillId="0" borderId="77" xfId="94" applyFont="1" applyBorder="1" applyAlignment="1">
      <alignment horizontal="center" vertical="center" wrapText="1"/>
      <protection/>
    </xf>
    <xf numFmtId="0" fontId="2" fillId="0" borderId="79" xfId="94" applyFont="1" applyBorder="1" applyAlignment="1">
      <alignment horizontal="center" vertical="center" wrapText="1"/>
      <protection/>
    </xf>
    <xf numFmtId="3" fontId="2" fillId="0" borderId="79" xfId="94" applyNumberFormat="1" applyFont="1" applyBorder="1" applyAlignment="1">
      <alignment horizontal="center" vertical="top" wrapText="1"/>
      <protection/>
    </xf>
    <xf numFmtId="3" fontId="2" fillId="0" borderId="80" xfId="94" applyNumberFormat="1" applyFont="1" applyBorder="1" applyAlignment="1">
      <alignment horizontal="center" vertical="top" wrapText="1"/>
      <protection/>
    </xf>
    <xf numFmtId="0" fontId="1" fillId="0" borderId="63" xfId="94" applyFont="1" applyBorder="1" applyAlignment="1">
      <alignment horizontal="center" vertical="center"/>
      <protection/>
    </xf>
    <xf numFmtId="3" fontId="1" fillId="0" borderId="70" xfId="94" applyNumberFormat="1" applyFont="1" applyBorder="1" applyAlignment="1">
      <alignment vertical="center" wrapText="1"/>
      <protection/>
    </xf>
    <xf numFmtId="3" fontId="2" fillId="0" borderId="70" xfId="94" applyNumberFormat="1" applyFont="1" applyBorder="1" applyAlignment="1">
      <alignment vertical="center" wrapText="1"/>
      <protection/>
    </xf>
    <xf numFmtId="0" fontId="2" fillId="0" borderId="63" xfId="94" applyFont="1" applyBorder="1" applyAlignment="1">
      <alignment horizontal="center" vertical="center"/>
      <protection/>
    </xf>
    <xf numFmtId="3" fontId="2" fillId="0" borderId="70" xfId="94" applyNumberFormat="1" applyFont="1" applyFill="1" applyBorder="1" applyAlignment="1">
      <alignment vertical="center" wrapText="1"/>
      <protection/>
    </xf>
    <xf numFmtId="0" fontId="1" fillId="0" borderId="63" xfId="94" applyFont="1" applyFill="1" applyBorder="1" applyAlignment="1">
      <alignment horizontal="center" vertical="center"/>
      <protection/>
    </xf>
    <xf numFmtId="3" fontId="1" fillId="0" borderId="70" xfId="94" applyNumberFormat="1" applyFont="1" applyBorder="1" applyAlignment="1">
      <alignment vertical="center"/>
      <protection/>
    </xf>
    <xf numFmtId="0" fontId="1" fillId="0" borderId="64" xfId="94" applyFont="1" applyBorder="1" applyAlignment="1">
      <alignment horizontal="center"/>
      <protection/>
    </xf>
    <xf numFmtId="0" fontId="1" fillId="0" borderId="65" xfId="94" applyFont="1" applyFill="1" applyBorder="1" applyAlignment="1">
      <alignment horizontal="justify" vertical="center" wrapText="1"/>
      <protection/>
    </xf>
    <xf numFmtId="3" fontId="1" fillId="0" borderId="65" xfId="94" applyNumberFormat="1" applyFont="1" applyBorder="1" applyAlignment="1">
      <alignment vertical="center"/>
      <protection/>
    </xf>
    <xf numFmtId="3" fontId="1" fillId="0" borderId="72" xfId="94" applyNumberFormat="1" applyFont="1" applyBorder="1" applyAlignment="1">
      <alignment vertical="center"/>
      <protection/>
    </xf>
    <xf numFmtId="0" fontId="16" fillId="0" borderId="22" xfId="103" applyFont="1" applyBorder="1">
      <alignment/>
      <protection/>
    </xf>
    <xf numFmtId="0" fontId="1" fillId="0" borderId="21" xfId="103" applyFont="1" applyBorder="1">
      <alignment/>
      <protection/>
    </xf>
    <xf numFmtId="0" fontId="16" fillId="0" borderId="21" xfId="103" applyFont="1" applyBorder="1">
      <alignment/>
      <protection/>
    </xf>
    <xf numFmtId="3" fontId="16" fillId="0" borderId="26" xfId="103" applyNumberFormat="1" applyFont="1" applyBorder="1">
      <alignment/>
      <protection/>
    </xf>
    <xf numFmtId="0" fontId="2" fillId="0" borderId="24" xfId="103" applyFont="1" applyBorder="1">
      <alignment/>
      <protection/>
    </xf>
    <xf numFmtId="3" fontId="2" fillId="0" borderId="36" xfId="103" applyNumberFormat="1" applyFont="1" applyBorder="1">
      <alignment/>
      <protection/>
    </xf>
    <xf numFmtId="3" fontId="2" fillId="0" borderId="116" xfId="103" applyNumberFormat="1" applyFont="1" applyBorder="1">
      <alignment/>
      <protection/>
    </xf>
    <xf numFmtId="3" fontId="16" fillId="0" borderId="117" xfId="103" applyNumberFormat="1" applyFont="1" applyBorder="1">
      <alignment/>
      <protection/>
    </xf>
    <xf numFmtId="3" fontId="16" fillId="0" borderId="43" xfId="103" applyNumberFormat="1" applyFont="1" applyBorder="1">
      <alignment/>
      <protection/>
    </xf>
    <xf numFmtId="0" fontId="1" fillId="0" borderId="103" xfId="103" applyFont="1" applyBorder="1" applyAlignment="1">
      <alignment horizontal="left" vertical="top"/>
      <protection/>
    </xf>
    <xf numFmtId="0" fontId="1" fillId="0" borderId="74" xfId="103" applyFont="1" applyBorder="1" applyAlignment="1">
      <alignment horizontal="center" vertical="top"/>
      <protection/>
    </xf>
    <xf numFmtId="3" fontId="1" fillId="0" borderId="73" xfId="103" applyNumberFormat="1" applyFont="1" applyBorder="1" applyAlignment="1">
      <alignment horizontal="center" vertical="top" wrapText="1"/>
      <protection/>
    </xf>
    <xf numFmtId="3" fontId="1" fillId="0" borderId="76" xfId="103" applyNumberFormat="1" applyFont="1" applyBorder="1" applyAlignment="1">
      <alignment horizontal="center" vertical="top" wrapText="1"/>
      <protection/>
    </xf>
    <xf numFmtId="0" fontId="0" fillId="0" borderId="0" xfId="103" applyBorder="1">
      <alignment/>
      <protection/>
    </xf>
    <xf numFmtId="0" fontId="6" fillId="0" borderId="22" xfId="101" applyFont="1" applyBorder="1">
      <alignment/>
      <protection/>
    </xf>
    <xf numFmtId="4" fontId="6" fillId="0" borderId="43" xfId="101" applyNumberFormat="1" applyFont="1" applyBorder="1">
      <alignment/>
      <protection/>
    </xf>
    <xf numFmtId="0" fontId="6" fillId="0" borderId="21" xfId="101" applyFont="1" applyBorder="1">
      <alignment/>
      <protection/>
    </xf>
    <xf numFmtId="4" fontId="6" fillId="0" borderId="26" xfId="101" applyNumberFormat="1" applyFont="1" applyBorder="1">
      <alignment/>
      <protection/>
    </xf>
    <xf numFmtId="0" fontId="10" fillId="0" borderId="21" xfId="101" applyFont="1" applyBorder="1">
      <alignment/>
      <protection/>
    </xf>
    <xf numFmtId="4" fontId="10" fillId="0" borderId="26" xfId="101" applyNumberFormat="1" applyFont="1" applyBorder="1">
      <alignment/>
      <protection/>
    </xf>
    <xf numFmtId="0" fontId="10" fillId="0" borderId="37" xfId="101" applyFont="1" applyBorder="1">
      <alignment/>
      <protection/>
    </xf>
    <xf numFmtId="0" fontId="46" fillId="0" borderId="24" xfId="101" applyFont="1" applyBorder="1">
      <alignment/>
      <protection/>
    </xf>
    <xf numFmtId="3" fontId="46" fillId="0" borderId="25" xfId="101" applyNumberFormat="1" applyFont="1" applyBorder="1">
      <alignment/>
      <protection/>
    </xf>
    <xf numFmtId="3" fontId="10" fillId="0" borderId="25" xfId="101" applyNumberFormat="1" applyFont="1" applyBorder="1">
      <alignment/>
      <protection/>
    </xf>
    <xf numFmtId="3" fontId="46" fillId="0" borderId="38" xfId="101" applyNumberFormat="1" applyFont="1" applyBorder="1">
      <alignment/>
      <protection/>
    </xf>
    <xf numFmtId="10" fontId="6" fillId="0" borderId="25" xfId="113" applyNumberFormat="1" applyFont="1" applyFill="1" applyBorder="1" applyAlignment="1">
      <alignment/>
    </xf>
    <xf numFmtId="3" fontId="46" fillId="0" borderId="25" xfId="101" applyNumberFormat="1" applyFont="1" applyFill="1" applyBorder="1">
      <alignment/>
      <protection/>
    </xf>
    <xf numFmtId="3" fontId="46" fillId="0" borderId="25" xfId="101" applyNumberFormat="1" applyFont="1" applyFill="1" applyBorder="1">
      <alignment/>
      <protection/>
    </xf>
    <xf numFmtId="3" fontId="10" fillId="0" borderId="25" xfId="101" applyNumberFormat="1" applyFont="1" applyFill="1" applyBorder="1">
      <alignment/>
      <protection/>
    </xf>
    <xf numFmtId="3" fontId="46" fillId="0" borderId="38" xfId="101" applyNumberFormat="1" applyFont="1" applyFill="1" applyBorder="1">
      <alignment/>
      <protection/>
    </xf>
    <xf numFmtId="165" fontId="10" fillId="0" borderId="25" xfId="101" applyNumberFormat="1" applyFont="1" applyFill="1" applyBorder="1">
      <alignment/>
      <protection/>
    </xf>
    <xf numFmtId="4" fontId="6" fillId="0" borderId="25" xfId="101" applyNumberFormat="1" applyFont="1" applyBorder="1">
      <alignment/>
      <protection/>
    </xf>
    <xf numFmtId="4" fontId="46" fillId="0" borderId="27" xfId="101" applyNumberFormat="1" applyFont="1" applyBorder="1">
      <alignment/>
      <protection/>
    </xf>
    <xf numFmtId="0" fontId="10" fillId="0" borderId="32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0" xfId="0" applyFont="1" applyAlignment="1">
      <alignment vertical="center"/>
    </xf>
    <xf numFmtId="0" fontId="66" fillId="0" borderId="118" xfId="0" applyFont="1" applyBorder="1" applyAlignment="1">
      <alignment vertical="center"/>
    </xf>
    <xf numFmtId="0" fontId="50" fillId="0" borderId="118" xfId="0" applyFont="1" applyBorder="1" applyAlignment="1">
      <alignment/>
    </xf>
    <xf numFmtId="3" fontId="50" fillId="0" borderId="19" xfId="0" applyNumberFormat="1" applyFont="1" applyBorder="1" applyAlignment="1">
      <alignment horizontal="left" vertical="center"/>
    </xf>
    <xf numFmtId="3" fontId="55" fillId="0" borderId="19" xfId="0" applyNumberFormat="1" applyFont="1" applyBorder="1" applyAlignment="1">
      <alignment horizontal="left" vertical="center"/>
    </xf>
    <xf numFmtId="0" fontId="55" fillId="0" borderId="19" xfId="0" applyFont="1" applyBorder="1" applyAlignment="1">
      <alignment/>
    </xf>
    <xf numFmtId="0" fontId="55" fillId="0" borderId="0" xfId="0" applyFont="1" applyAlignment="1">
      <alignment/>
    </xf>
    <xf numFmtId="0" fontId="50" fillId="0" borderId="19" xfId="0" applyFont="1" applyBorder="1" applyAlignment="1">
      <alignment/>
    </xf>
    <xf numFmtId="3" fontId="55" fillId="0" borderId="19" xfId="0" applyNumberFormat="1" applyFont="1" applyBorder="1" applyAlignment="1">
      <alignment horizontal="left"/>
    </xf>
    <xf numFmtId="0" fontId="55" fillId="0" borderId="35" xfId="0" applyFont="1" applyBorder="1" applyAlignment="1">
      <alignment/>
    </xf>
    <xf numFmtId="3" fontId="50" fillId="0" borderId="19" xfId="0" applyNumberFormat="1" applyFont="1" applyBorder="1" applyAlignment="1">
      <alignment horizontal="left"/>
    </xf>
    <xf numFmtId="0" fontId="50" fillId="0" borderId="35" xfId="0" applyFont="1" applyBorder="1" applyAlignment="1">
      <alignment/>
    </xf>
    <xf numFmtId="3" fontId="55" fillId="0" borderId="57" xfId="0" applyNumberFormat="1" applyFont="1" applyBorder="1" applyAlignment="1">
      <alignment horizontal="left" vertical="center"/>
    </xf>
    <xf numFmtId="3" fontId="50" fillId="0" borderId="57" xfId="0" applyNumberFormat="1" applyFont="1" applyBorder="1" applyAlignment="1">
      <alignment horizontal="left" vertical="center"/>
    </xf>
    <xf numFmtId="3" fontId="10" fillId="0" borderId="19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25" fillId="0" borderId="0" xfId="0" applyFont="1" applyAlignment="1">
      <alignment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3" fontId="6" fillId="0" borderId="26" xfId="0" applyNumberFormat="1" applyFont="1" applyBorder="1" applyAlignment="1">
      <alignment/>
    </xf>
    <xf numFmtId="0" fontId="6" fillId="0" borderId="21" xfId="0" applyFont="1" applyBorder="1" applyAlignment="1">
      <alignment vertical="center" wrapText="1"/>
    </xf>
    <xf numFmtId="3" fontId="6" fillId="0" borderId="26" xfId="0" applyNumberFormat="1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3" fontId="10" fillId="0" borderId="25" xfId="0" applyNumberFormat="1" applyFont="1" applyBorder="1" applyAlignment="1">
      <alignment vertical="center"/>
    </xf>
    <xf numFmtId="3" fontId="10" fillId="0" borderId="27" xfId="0" applyNumberFormat="1" applyFont="1" applyBorder="1" applyAlignment="1">
      <alignment vertical="center"/>
    </xf>
    <xf numFmtId="3" fontId="6" fillId="0" borderId="19" xfId="102" applyNumberFormat="1" applyFont="1" applyBorder="1">
      <alignment/>
      <protection/>
    </xf>
    <xf numFmtId="3" fontId="6" fillId="0" borderId="20" xfId="102" applyNumberFormat="1" applyFont="1" applyBorder="1">
      <alignment/>
      <protection/>
    </xf>
    <xf numFmtId="0" fontId="10" fillId="0" borderId="53" xfId="102" applyFont="1" applyBorder="1" applyAlignment="1">
      <alignment horizontal="center" vertical="center"/>
      <protection/>
    </xf>
    <xf numFmtId="0" fontId="10" fillId="0" borderId="54" xfId="102" applyFont="1" applyBorder="1" applyAlignment="1">
      <alignment horizontal="center" vertical="center" wrapText="1"/>
      <protection/>
    </xf>
    <xf numFmtId="0" fontId="10" fillId="0" borderId="33" xfId="102" applyFont="1" applyBorder="1" applyAlignment="1">
      <alignment horizontal="center" vertical="center" wrapText="1"/>
      <protection/>
    </xf>
    <xf numFmtId="0" fontId="6" fillId="0" borderId="21" xfId="102" applyFont="1" applyBorder="1">
      <alignment/>
      <protection/>
    </xf>
    <xf numFmtId="0" fontId="6" fillId="0" borderId="26" xfId="102" applyFont="1" applyBorder="1">
      <alignment/>
      <protection/>
    </xf>
    <xf numFmtId="0" fontId="6" fillId="0" borderId="21" xfId="102" applyFont="1" applyBorder="1" applyAlignment="1">
      <alignment wrapText="1"/>
      <protection/>
    </xf>
    <xf numFmtId="0" fontId="6" fillId="0" borderId="21" xfId="102" applyFont="1" applyBorder="1" applyAlignment="1">
      <alignment horizontal="left" wrapText="1"/>
      <protection/>
    </xf>
    <xf numFmtId="0" fontId="6" fillId="0" borderId="37" xfId="102" applyFont="1" applyBorder="1" applyAlignment="1">
      <alignment wrapText="1"/>
      <protection/>
    </xf>
    <xf numFmtId="0" fontId="6" fillId="0" borderId="56" xfId="102" applyFont="1" applyBorder="1">
      <alignment/>
      <protection/>
    </xf>
    <xf numFmtId="0" fontId="10" fillId="0" borderId="24" xfId="102" applyFont="1" applyBorder="1">
      <alignment/>
      <protection/>
    </xf>
    <xf numFmtId="3" fontId="10" fillId="0" borderId="25" xfId="102" applyNumberFormat="1" applyFont="1" applyBorder="1">
      <alignment/>
      <protection/>
    </xf>
    <xf numFmtId="0" fontId="10" fillId="0" borderId="27" xfId="102" applyFont="1" applyBorder="1">
      <alignment/>
      <protection/>
    </xf>
    <xf numFmtId="0" fontId="10" fillId="0" borderId="0" xfId="0" applyFont="1" applyAlignment="1">
      <alignment horizontal="center"/>
    </xf>
    <xf numFmtId="0" fontId="19" fillId="0" borderId="0" xfId="95">
      <alignment/>
      <protection/>
    </xf>
    <xf numFmtId="0" fontId="67" fillId="0" borderId="0" xfId="95" applyFont="1" applyAlignment="1">
      <alignment horizontal="left" vertical="center"/>
      <protection/>
    </xf>
    <xf numFmtId="0" fontId="19" fillId="0" borderId="0" xfId="95" applyBorder="1">
      <alignment/>
      <protection/>
    </xf>
    <xf numFmtId="0" fontId="26" fillId="0" borderId="0" xfId="95" applyFont="1" applyBorder="1">
      <alignment/>
      <protection/>
    </xf>
    <xf numFmtId="0" fontId="19" fillId="0" borderId="63" xfId="95" applyFont="1" applyBorder="1">
      <alignment/>
      <protection/>
    </xf>
    <xf numFmtId="0" fontId="19" fillId="0" borderId="57" xfId="95" applyFont="1" applyBorder="1" applyAlignment="1">
      <alignment horizontal="right"/>
      <protection/>
    </xf>
    <xf numFmtId="3" fontId="19" fillId="0" borderId="57" xfId="95" applyNumberFormat="1" applyFont="1" applyBorder="1" applyAlignment="1">
      <alignment horizontal="right"/>
      <protection/>
    </xf>
    <xf numFmtId="3" fontId="19" fillId="0" borderId="70" xfId="95" applyNumberFormat="1" applyFont="1" applyBorder="1" applyAlignment="1">
      <alignment horizontal="right"/>
      <protection/>
    </xf>
    <xf numFmtId="0" fontId="19" fillId="0" borderId="57" xfId="95" applyFont="1" applyBorder="1">
      <alignment/>
      <protection/>
    </xf>
    <xf numFmtId="3" fontId="19" fillId="0" borderId="57" xfId="95" applyNumberFormat="1" applyBorder="1">
      <alignment/>
      <protection/>
    </xf>
    <xf numFmtId="3" fontId="19" fillId="0" borderId="70" xfId="95" applyNumberFormat="1" applyBorder="1" applyAlignment="1">
      <alignment horizontal="right"/>
      <protection/>
    </xf>
    <xf numFmtId="3" fontId="19" fillId="0" borderId="70" xfId="95" applyNumberFormat="1" applyBorder="1">
      <alignment/>
      <protection/>
    </xf>
    <xf numFmtId="3" fontId="26" fillId="0" borderId="70" xfId="95" applyNumberFormat="1" applyFont="1" applyBorder="1">
      <alignment/>
      <protection/>
    </xf>
    <xf numFmtId="3" fontId="26" fillId="0" borderId="72" xfId="95" applyNumberFormat="1" applyFont="1" applyBorder="1">
      <alignment/>
      <protection/>
    </xf>
    <xf numFmtId="0" fontId="19" fillId="0" borderId="61" xfId="95" applyFont="1" applyBorder="1">
      <alignment/>
      <protection/>
    </xf>
    <xf numFmtId="0" fontId="19" fillId="0" borderId="62" xfId="95" applyFont="1" applyBorder="1" applyAlignment="1">
      <alignment horizontal="right"/>
      <protection/>
    </xf>
    <xf numFmtId="3" fontId="19" fillId="0" borderId="62" xfId="95" applyNumberFormat="1" applyFont="1" applyBorder="1" applyAlignment="1">
      <alignment horizontal="right"/>
      <protection/>
    </xf>
    <xf numFmtId="3" fontId="19" fillId="0" borderId="71" xfId="95" applyNumberFormat="1" applyFont="1" applyBorder="1" applyAlignment="1">
      <alignment horizontal="right"/>
      <protection/>
    </xf>
    <xf numFmtId="0" fontId="26" fillId="0" borderId="65" xfId="95" applyFont="1" applyBorder="1" applyAlignment="1">
      <alignment horizontal="center" vertical="center"/>
      <protection/>
    </xf>
    <xf numFmtId="0" fontId="19" fillId="0" borderId="119" xfId="95" applyFont="1" applyBorder="1" applyAlignment="1">
      <alignment horizontal="center" vertical="center"/>
      <protection/>
    </xf>
    <xf numFmtId="0" fontId="19" fillId="0" borderId="119" xfId="95" applyBorder="1">
      <alignment/>
      <protection/>
    </xf>
    <xf numFmtId="3" fontId="19" fillId="0" borderId="119" xfId="95" applyNumberFormat="1" applyBorder="1">
      <alignment/>
      <protection/>
    </xf>
    <xf numFmtId="3" fontId="19" fillId="0" borderId="120" xfId="95" applyNumberFormat="1" applyFont="1" applyBorder="1" applyAlignment="1">
      <alignment horizontal="center"/>
      <protection/>
    </xf>
    <xf numFmtId="0" fontId="26" fillId="0" borderId="65" xfId="95" applyFont="1" applyBorder="1" applyAlignment="1">
      <alignment horizontal="center"/>
      <protection/>
    </xf>
    <xf numFmtId="16" fontId="67" fillId="0" borderId="0" xfId="95" applyNumberFormat="1" applyFont="1" applyAlignment="1">
      <alignment horizontal="left" vertical="center"/>
      <protection/>
    </xf>
    <xf numFmtId="0" fontId="50" fillId="0" borderId="13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0" xfId="0" applyFont="1" applyBorder="1" applyAlignment="1">
      <alignment/>
    </xf>
    <xf numFmtId="0" fontId="50" fillId="0" borderId="51" xfId="0" applyFont="1" applyBorder="1" applyAlignment="1">
      <alignment/>
    </xf>
    <xf numFmtId="0" fontId="50" fillId="0" borderId="121" xfId="0" applyFont="1" applyBorder="1" applyAlignment="1">
      <alignment vertical="center"/>
    </xf>
    <xf numFmtId="0" fontId="50" fillId="0" borderId="122" xfId="0" applyFont="1" applyBorder="1" applyAlignment="1">
      <alignment/>
    </xf>
    <xf numFmtId="0" fontId="50" fillId="0" borderId="21" xfId="0" applyFont="1" applyBorder="1" applyAlignment="1">
      <alignment vertical="center"/>
    </xf>
    <xf numFmtId="0" fontId="55" fillId="0" borderId="21" xfId="0" applyFont="1" applyBorder="1" applyAlignment="1">
      <alignment vertical="center"/>
    </xf>
    <xf numFmtId="0" fontId="55" fillId="0" borderId="26" xfId="0" applyFont="1" applyBorder="1" applyAlignment="1">
      <alignment/>
    </xf>
    <xf numFmtId="0" fontId="50" fillId="0" borderId="26" xfId="0" applyFont="1" applyBorder="1" applyAlignment="1">
      <alignment/>
    </xf>
    <xf numFmtId="3" fontId="55" fillId="0" borderId="26" xfId="0" applyNumberFormat="1" applyFont="1" applyBorder="1" applyAlignment="1">
      <alignment/>
    </xf>
    <xf numFmtId="3" fontId="50" fillId="0" borderId="26" xfId="0" applyNumberFormat="1" applyFont="1" applyBorder="1" applyAlignment="1">
      <alignment/>
    </xf>
    <xf numFmtId="0" fontId="50" fillId="0" borderId="21" xfId="0" applyFont="1" applyBorder="1" applyAlignment="1">
      <alignment horizontal="left" vertical="center" wrapText="1"/>
    </xf>
    <xf numFmtId="3" fontId="55" fillId="0" borderId="26" xfId="0" applyNumberFormat="1" applyFont="1" applyBorder="1" applyAlignment="1">
      <alignment horizontal="right"/>
    </xf>
    <xf numFmtId="3" fontId="50" fillId="0" borderId="26" xfId="0" applyNumberFormat="1" applyFont="1" applyBorder="1" applyAlignment="1">
      <alignment horizontal="right"/>
    </xf>
    <xf numFmtId="0" fontId="55" fillId="0" borderId="24" xfId="0" applyFont="1" applyBorder="1" applyAlignment="1">
      <alignment vertical="center"/>
    </xf>
    <xf numFmtId="3" fontId="55" fillId="0" borderId="25" xfId="0" applyNumberFormat="1" applyFont="1" applyBorder="1" applyAlignment="1">
      <alignment horizontal="left" vertical="center"/>
    </xf>
    <xf numFmtId="0" fontId="55" fillId="0" borderId="25" xfId="0" applyFont="1" applyBorder="1" applyAlignment="1">
      <alignment/>
    </xf>
    <xf numFmtId="0" fontId="55" fillId="0" borderId="27" xfId="0" applyFont="1" applyBorder="1" applyAlignment="1">
      <alignment/>
    </xf>
    <xf numFmtId="3" fontId="2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Border="1" applyAlignment="1">
      <alignment horizontal="right"/>
    </xf>
    <xf numFmtId="0" fontId="10" fillId="0" borderId="123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124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125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" fillId="0" borderId="111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103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/>
    </xf>
    <xf numFmtId="0" fontId="10" fillId="0" borderId="123" xfId="0" applyFont="1" applyBorder="1" applyAlignment="1">
      <alignment horizontal="center" vertical="center" wrapText="1"/>
    </xf>
    <xf numFmtId="3" fontId="11" fillId="0" borderId="126" xfId="99" applyNumberFormat="1" applyFont="1" applyBorder="1" applyAlignment="1">
      <alignment horizontal="center"/>
      <protection/>
    </xf>
    <xf numFmtId="3" fontId="11" fillId="0" borderId="125" xfId="99" applyNumberFormat="1" applyFont="1" applyBorder="1" applyAlignment="1">
      <alignment horizontal="center"/>
      <protection/>
    </xf>
    <xf numFmtId="3" fontId="11" fillId="0" borderId="124" xfId="99" applyNumberFormat="1" applyFont="1" applyBorder="1" applyAlignment="1">
      <alignment horizontal="center"/>
      <protection/>
    </xf>
    <xf numFmtId="3" fontId="11" fillId="0" borderId="0" xfId="99" applyNumberFormat="1" applyFont="1" applyAlignment="1">
      <alignment horizontal="center"/>
      <protection/>
    </xf>
    <xf numFmtId="0" fontId="11" fillId="0" borderId="0" xfId="0" applyFont="1" applyAlignment="1">
      <alignment horizontal="center" shrinkToFit="1"/>
    </xf>
    <xf numFmtId="0" fontId="10" fillId="0" borderId="75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2" fillId="0" borderId="126" xfId="0" applyFont="1" applyBorder="1" applyAlignment="1">
      <alignment horizontal="center" vertical="center" wrapText="1"/>
    </xf>
    <xf numFmtId="0" fontId="2" fillId="0" borderId="125" xfId="0" applyFont="1" applyBorder="1" applyAlignment="1">
      <alignment horizontal="center" vertical="center" wrapText="1"/>
    </xf>
    <xf numFmtId="0" fontId="2" fillId="0" borderId="124" xfId="0" applyFont="1" applyBorder="1" applyAlignment="1">
      <alignment horizontal="center" vertical="center" wrapText="1"/>
    </xf>
    <xf numFmtId="0" fontId="2" fillId="0" borderId="126" xfId="0" applyFont="1" applyBorder="1" applyAlignment="1">
      <alignment horizontal="center"/>
    </xf>
    <xf numFmtId="0" fontId="2" fillId="0" borderId="125" xfId="0" applyFont="1" applyBorder="1" applyAlignment="1">
      <alignment horizontal="center"/>
    </xf>
    <xf numFmtId="0" fontId="2" fillId="0" borderId="12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1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106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49" fontId="2" fillId="0" borderId="106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106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21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49" fontId="1" fillId="0" borderId="106" xfId="0" applyNumberFormat="1" applyFont="1" applyBorder="1" applyAlignment="1">
      <alignment horizontal="left" wrapText="1"/>
    </xf>
    <xf numFmtId="49" fontId="1" fillId="0" borderId="35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1" fillId="0" borderId="2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10" fillId="0" borderId="126" xfId="0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27" xfId="96" applyFont="1" applyBorder="1" applyAlignment="1">
      <alignment horizontal="center" vertical="center" wrapText="1"/>
      <protection/>
    </xf>
    <xf numFmtId="0" fontId="10" fillId="0" borderId="65" xfId="96" applyFont="1" applyBorder="1" applyAlignment="1">
      <alignment horizontal="center" vertical="center" wrapText="1"/>
      <protection/>
    </xf>
    <xf numFmtId="0" fontId="10" fillId="0" borderId="63" xfId="96" applyFont="1" applyBorder="1" applyAlignment="1">
      <alignment horizontal="left"/>
      <protection/>
    </xf>
    <xf numFmtId="0" fontId="10" fillId="0" borderId="68" xfId="96" applyFont="1" applyBorder="1" applyAlignment="1">
      <alignment horizontal="left"/>
      <protection/>
    </xf>
    <xf numFmtId="0" fontId="10" fillId="0" borderId="79" xfId="96" applyFont="1" applyBorder="1" applyAlignment="1">
      <alignment horizontal="center"/>
      <protection/>
    </xf>
    <xf numFmtId="3" fontId="10" fillId="0" borderId="128" xfId="96" applyNumberFormat="1" applyFont="1" applyBorder="1" applyAlignment="1">
      <alignment horizontal="center" vertical="center" wrapText="1"/>
      <protection/>
    </xf>
    <xf numFmtId="3" fontId="10" fillId="0" borderId="129" xfId="96" applyNumberFormat="1" applyFont="1" applyBorder="1" applyAlignment="1">
      <alignment horizontal="center" vertical="center" wrapText="1"/>
      <protection/>
    </xf>
    <xf numFmtId="3" fontId="10" fillId="0" borderId="130" xfId="96" applyNumberFormat="1" applyFont="1" applyBorder="1" applyAlignment="1">
      <alignment horizontal="center" vertical="center" wrapText="1"/>
      <protection/>
    </xf>
    <xf numFmtId="0" fontId="10" fillId="0" borderId="127" xfId="96" applyFont="1" applyBorder="1" applyAlignment="1">
      <alignment horizontal="center" vertical="center"/>
      <protection/>
    </xf>
    <xf numFmtId="0" fontId="10" fillId="0" borderId="65" xfId="96" applyFont="1" applyBorder="1" applyAlignment="1">
      <alignment horizontal="center" vertical="center"/>
      <protection/>
    </xf>
    <xf numFmtId="0" fontId="10" fillId="0" borderId="131" xfId="96" applyFont="1" applyBorder="1" applyAlignment="1">
      <alignment horizontal="center" vertical="center" wrapText="1"/>
      <protection/>
    </xf>
    <xf numFmtId="0" fontId="10" fillId="0" borderId="132" xfId="96" applyFont="1" applyBorder="1" applyAlignment="1">
      <alignment horizontal="center" vertical="center" wrapText="1"/>
      <protection/>
    </xf>
    <xf numFmtId="0" fontId="10" fillId="0" borderId="133" xfId="96" applyFont="1" applyBorder="1" applyAlignment="1">
      <alignment horizontal="center" vertical="center" wrapText="1"/>
      <protection/>
    </xf>
    <xf numFmtId="0" fontId="10" fillId="0" borderId="134" xfId="96" applyFont="1" applyBorder="1" applyAlignment="1">
      <alignment horizontal="left"/>
      <protection/>
    </xf>
    <xf numFmtId="0" fontId="10" fillId="0" borderId="135" xfId="96" applyFont="1" applyBorder="1" applyAlignment="1">
      <alignment horizontal="left"/>
      <protection/>
    </xf>
    <xf numFmtId="0" fontId="10" fillId="0" borderId="136" xfId="96" applyFont="1" applyBorder="1" applyAlignment="1">
      <alignment horizontal="left"/>
      <protection/>
    </xf>
    <xf numFmtId="0" fontId="10" fillId="0" borderId="137" xfId="96" applyFont="1" applyBorder="1" applyAlignment="1">
      <alignment horizontal="left"/>
      <protection/>
    </xf>
    <xf numFmtId="0" fontId="10" fillId="0" borderId="0" xfId="96" applyFont="1" applyAlignment="1">
      <alignment/>
      <protection/>
    </xf>
    <xf numFmtId="0" fontId="0" fillId="0" borderId="0" xfId="0" applyAlignment="1">
      <alignment/>
    </xf>
    <xf numFmtId="0" fontId="44" fillId="0" borderId="0" xfId="96" applyFont="1" applyBorder="1" applyAlignment="1">
      <alignment horizontal="center"/>
      <protection/>
    </xf>
    <xf numFmtId="0" fontId="54" fillId="0" borderId="0" xfId="96" applyFont="1" applyBorder="1" applyAlignment="1">
      <alignment horizontal="center"/>
      <protection/>
    </xf>
    <xf numFmtId="0" fontId="10" fillId="0" borderId="138" xfId="96" applyFont="1" applyBorder="1" applyAlignment="1">
      <alignment horizontal="center" vertical="center"/>
      <protection/>
    </xf>
    <xf numFmtId="0" fontId="10" fillId="0" borderId="139" xfId="96" applyFont="1" applyBorder="1" applyAlignment="1">
      <alignment horizontal="center" vertical="center"/>
      <protection/>
    </xf>
    <xf numFmtId="0" fontId="10" fillId="0" borderId="140" xfId="96" applyFont="1" applyBorder="1" applyAlignment="1">
      <alignment horizontal="center" vertical="center"/>
      <protection/>
    </xf>
    <xf numFmtId="0" fontId="10" fillId="0" borderId="141" xfId="96" applyFont="1" applyBorder="1" applyAlignment="1">
      <alignment horizontal="center" vertical="center"/>
      <protection/>
    </xf>
    <xf numFmtId="0" fontId="10" fillId="0" borderId="142" xfId="96" applyFont="1" applyBorder="1" applyAlignment="1">
      <alignment horizontal="center" vertical="center"/>
      <protection/>
    </xf>
    <xf numFmtId="0" fontId="10" fillId="0" borderId="143" xfId="96" applyFont="1" applyBorder="1" applyAlignment="1">
      <alignment horizontal="center" vertical="center"/>
      <protection/>
    </xf>
    <xf numFmtId="0" fontId="10" fillId="0" borderId="131" xfId="92" applyFont="1" applyBorder="1" applyAlignment="1">
      <alignment horizontal="center" vertical="center"/>
      <protection/>
    </xf>
    <xf numFmtId="0" fontId="10" fillId="0" borderId="132" xfId="92" applyFont="1" applyBorder="1" applyAlignment="1">
      <alignment horizontal="center" vertical="center"/>
      <protection/>
    </xf>
    <xf numFmtId="0" fontId="10" fillId="0" borderId="133" xfId="92" applyFont="1" applyBorder="1" applyAlignment="1">
      <alignment horizontal="center" vertical="center"/>
      <protection/>
    </xf>
    <xf numFmtId="0" fontId="10" fillId="0" borderId="131" xfId="96" applyFont="1" applyBorder="1" applyAlignment="1">
      <alignment horizontal="center" vertical="center"/>
      <protection/>
    </xf>
    <xf numFmtId="0" fontId="10" fillId="0" borderId="132" xfId="96" applyFont="1" applyBorder="1" applyAlignment="1">
      <alignment horizontal="center" vertical="center"/>
      <protection/>
    </xf>
    <xf numFmtId="0" fontId="10" fillId="0" borderId="133" xfId="96" applyFont="1" applyBorder="1" applyAlignment="1">
      <alignment horizontal="center" vertical="center"/>
      <protection/>
    </xf>
    <xf numFmtId="1" fontId="10" fillId="0" borderId="63" xfId="92" applyNumberFormat="1" applyFont="1" applyBorder="1" applyAlignment="1">
      <alignment horizontal="left" vertical="center"/>
      <protection/>
    </xf>
    <xf numFmtId="1" fontId="10" fillId="0" borderId="68" xfId="92" applyNumberFormat="1" applyFont="1" applyBorder="1" applyAlignment="1">
      <alignment horizontal="left" vertical="center"/>
      <protection/>
    </xf>
    <xf numFmtId="1" fontId="10" fillId="0" borderId="64" xfId="92" applyNumberFormat="1" applyFont="1" applyBorder="1" applyAlignment="1">
      <alignment horizontal="left" vertical="center"/>
      <protection/>
    </xf>
    <xf numFmtId="1" fontId="10" fillId="0" borderId="72" xfId="92" applyNumberFormat="1" applyFont="1" applyBorder="1" applyAlignment="1">
      <alignment horizontal="left" vertical="center"/>
      <protection/>
    </xf>
    <xf numFmtId="1" fontId="10" fillId="0" borderId="88" xfId="92" applyNumberFormat="1" applyFont="1" applyBorder="1" applyAlignment="1">
      <alignment horizontal="left" vertical="center"/>
      <protection/>
    </xf>
    <xf numFmtId="1" fontId="10" fillId="0" borderId="83" xfId="92" applyNumberFormat="1" applyFont="1" applyBorder="1" applyAlignment="1">
      <alignment horizontal="left" vertical="center"/>
      <protection/>
    </xf>
    <xf numFmtId="1" fontId="10" fillId="0" borderId="65" xfId="92" applyNumberFormat="1" applyFont="1" applyBorder="1" applyAlignment="1">
      <alignment horizontal="left" vertical="center"/>
      <protection/>
    </xf>
    <xf numFmtId="1" fontId="10" fillId="0" borderId="57" xfId="92" applyNumberFormat="1" applyFont="1" applyBorder="1" applyAlignment="1">
      <alignment horizontal="left" vertical="center"/>
      <protection/>
    </xf>
    <xf numFmtId="1" fontId="49" fillId="0" borderId="63" xfId="92" applyNumberFormat="1" applyFont="1" applyBorder="1" applyAlignment="1">
      <alignment horizontal="left" vertical="center"/>
      <protection/>
    </xf>
    <xf numFmtId="1" fontId="49" fillId="0" borderId="57" xfId="92" applyNumberFormat="1" applyFont="1" applyBorder="1" applyAlignment="1">
      <alignment horizontal="left" vertical="center"/>
      <protection/>
    </xf>
    <xf numFmtId="0" fontId="49" fillId="0" borderId="127" xfId="96" applyFont="1" applyBorder="1" applyAlignment="1">
      <alignment horizontal="center" vertical="center" wrapText="1"/>
      <protection/>
    </xf>
    <xf numFmtId="0" fontId="49" fillId="0" borderId="65" xfId="96" applyFont="1" applyBorder="1" applyAlignment="1">
      <alignment horizontal="center" vertical="center" wrapText="1"/>
      <protection/>
    </xf>
    <xf numFmtId="3" fontId="49" fillId="0" borderId="128" xfId="96" applyNumberFormat="1" applyFont="1" applyBorder="1" applyAlignment="1">
      <alignment horizontal="center" vertical="center" wrapText="1"/>
      <protection/>
    </xf>
    <xf numFmtId="3" fontId="49" fillId="0" borderId="129" xfId="96" applyNumberFormat="1" applyFont="1" applyBorder="1" applyAlignment="1">
      <alignment horizontal="center" vertical="center" wrapText="1"/>
      <protection/>
    </xf>
    <xf numFmtId="3" fontId="49" fillId="0" borderId="130" xfId="96" applyNumberFormat="1" applyFont="1" applyBorder="1" applyAlignment="1">
      <alignment horizontal="center" vertical="center" wrapText="1"/>
      <protection/>
    </xf>
    <xf numFmtId="0" fontId="49" fillId="0" borderId="127" xfId="96" applyFont="1" applyBorder="1" applyAlignment="1">
      <alignment horizontal="center" vertical="center"/>
      <protection/>
    </xf>
    <xf numFmtId="0" fontId="49" fillId="0" borderId="65" xfId="96" applyFont="1" applyBorder="1" applyAlignment="1">
      <alignment horizontal="center" vertical="center"/>
      <protection/>
    </xf>
    <xf numFmtId="1" fontId="49" fillId="0" borderId="64" xfId="92" applyNumberFormat="1" applyFont="1" applyBorder="1" applyAlignment="1">
      <alignment horizontal="left" vertical="center"/>
      <protection/>
    </xf>
    <xf numFmtId="1" fontId="49" fillId="0" borderId="65" xfId="92" applyNumberFormat="1" applyFont="1" applyBorder="1" applyAlignment="1">
      <alignment horizontal="left" vertical="center"/>
      <protection/>
    </xf>
    <xf numFmtId="1" fontId="49" fillId="0" borderId="88" xfId="92" applyNumberFormat="1" applyFont="1" applyBorder="1" applyAlignment="1">
      <alignment horizontal="left" vertical="center"/>
      <protection/>
    </xf>
    <xf numFmtId="1" fontId="49" fillId="0" borderId="82" xfId="92" applyNumberFormat="1" applyFont="1" applyBorder="1" applyAlignment="1">
      <alignment horizontal="left" vertical="center"/>
      <protection/>
    </xf>
    <xf numFmtId="0" fontId="49" fillId="0" borderId="138" xfId="96" applyFont="1" applyBorder="1" applyAlignment="1">
      <alignment horizontal="center" vertical="center"/>
      <protection/>
    </xf>
    <xf numFmtId="0" fontId="49" fillId="0" borderId="139" xfId="96" applyFont="1" applyBorder="1" applyAlignment="1">
      <alignment horizontal="center" vertical="center"/>
      <protection/>
    </xf>
    <xf numFmtId="0" fontId="49" fillId="0" borderId="140" xfId="96" applyFont="1" applyBorder="1" applyAlignment="1">
      <alignment horizontal="center" vertical="center"/>
      <protection/>
    </xf>
    <xf numFmtId="0" fontId="49" fillId="0" borderId="141" xfId="96" applyFont="1" applyBorder="1" applyAlignment="1">
      <alignment horizontal="center" vertical="center"/>
      <protection/>
    </xf>
    <xf numFmtId="0" fontId="49" fillId="0" borderId="142" xfId="96" applyFont="1" applyBorder="1" applyAlignment="1">
      <alignment horizontal="center" vertical="center"/>
      <protection/>
    </xf>
    <xf numFmtId="0" fontId="49" fillId="0" borderId="143" xfId="96" applyFont="1" applyBorder="1" applyAlignment="1">
      <alignment horizontal="center" vertical="center"/>
      <protection/>
    </xf>
    <xf numFmtId="0" fontId="49" fillId="0" borderId="131" xfId="92" applyFont="1" applyBorder="1" applyAlignment="1">
      <alignment horizontal="center" vertical="center"/>
      <protection/>
    </xf>
    <xf numFmtId="0" fontId="49" fillId="0" borderId="132" xfId="92" applyFont="1" applyBorder="1" applyAlignment="1">
      <alignment horizontal="center" vertical="center"/>
      <protection/>
    </xf>
    <xf numFmtId="0" fontId="49" fillId="0" borderId="133" xfId="92" applyFont="1" applyBorder="1" applyAlignment="1">
      <alignment horizontal="center" vertical="center"/>
      <protection/>
    </xf>
    <xf numFmtId="0" fontId="49" fillId="0" borderId="131" xfId="96" applyFont="1" applyBorder="1" applyAlignment="1">
      <alignment horizontal="center" vertical="center"/>
      <protection/>
    </xf>
    <xf numFmtId="0" fontId="49" fillId="0" borderId="132" xfId="96" applyFont="1" applyBorder="1" applyAlignment="1">
      <alignment horizontal="center" vertical="center"/>
      <protection/>
    </xf>
    <xf numFmtId="0" fontId="49" fillId="0" borderId="133" xfId="96" applyFont="1" applyBorder="1" applyAlignment="1">
      <alignment horizontal="center" vertical="center"/>
      <protection/>
    </xf>
    <xf numFmtId="0" fontId="49" fillId="0" borderId="79" xfId="96" applyFont="1" applyBorder="1" applyAlignment="1">
      <alignment horizontal="center"/>
      <protection/>
    </xf>
    <xf numFmtId="0" fontId="49" fillId="0" borderId="131" xfId="96" applyFont="1" applyBorder="1" applyAlignment="1">
      <alignment horizontal="center" vertical="center" wrapText="1"/>
      <protection/>
    </xf>
    <xf numFmtId="0" fontId="49" fillId="0" borderId="132" xfId="96" applyFont="1" applyBorder="1" applyAlignment="1">
      <alignment horizontal="center" vertical="center" wrapText="1"/>
      <protection/>
    </xf>
    <xf numFmtId="0" fontId="49" fillId="0" borderId="133" xfId="96" applyFont="1" applyBorder="1" applyAlignment="1">
      <alignment horizontal="center" vertical="center" wrapText="1"/>
      <protection/>
    </xf>
    <xf numFmtId="0" fontId="6" fillId="0" borderId="39" xfId="98" applyFont="1" applyFill="1" applyBorder="1" applyAlignment="1">
      <alignment horizontal="center" vertical="center"/>
      <protection/>
    </xf>
    <xf numFmtId="0" fontId="21" fillId="0" borderId="20" xfId="98" applyFont="1" applyFill="1" applyBorder="1" applyAlignment="1">
      <alignment horizontal="center" vertical="center" wrapText="1"/>
      <protection/>
    </xf>
    <xf numFmtId="0" fontId="21" fillId="0" borderId="14" xfId="98" applyFont="1" applyFill="1" applyBorder="1" applyAlignment="1">
      <alignment horizontal="center" vertical="center" wrapText="1"/>
      <protection/>
    </xf>
    <xf numFmtId="0" fontId="6" fillId="0" borderId="20" xfId="98" applyFont="1" applyFill="1" applyBorder="1" applyAlignment="1">
      <alignment horizontal="center" vertical="center" wrapText="1"/>
      <protection/>
    </xf>
    <xf numFmtId="0" fontId="6" fillId="0" borderId="96" xfId="98" applyFont="1" applyFill="1" applyBorder="1" applyAlignment="1">
      <alignment horizontal="center" vertical="center" wrapText="1"/>
      <protection/>
    </xf>
    <xf numFmtId="0" fontId="19" fillId="0" borderId="96" xfId="98" applyFont="1" applyFill="1" applyBorder="1" applyAlignment="1">
      <alignment horizontal="center" vertical="center" wrapText="1"/>
      <protection/>
    </xf>
    <xf numFmtId="0" fontId="19" fillId="0" borderId="14" xfId="98" applyBorder="1" applyAlignment="1">
      <alignment horizontal="center" vertical="center" wrapText="1"/>
      <protection/>
    </xf>
    <xf numFmtId="0" fontId="10" fillId="0" borderId="20" xfId="98" applyFont="1" applyFill="1" applyBorder="1" applyAlignment="1">
      <alignment horizontal="center" vertical="center" wrapText="1"/>
      <protection/>
    </xf>
    <xf numFmtId="0" fontId="10" fillId="0" borderId="96" xfId="98" applyFont="1" applyFill="1" applyBorder="1" applyAlignment="1">
      <alignment horizontal="center" vertical="center" wrapText="1"/>
      <protection/>
    </xf>
    <xf numFmtId="0" fontId="6" fillId="0" borderId="20" xfId="98" applyFont="1" applyFill="1" applyBorder="1" applyAlignment="1">
      <alignment horizontal="left" vertical="center" wrapText="1"/>
      <protection/>
    </xf>
    <xf numFmtId="0" fontId="6" fillId="0" borderId="96" xfId="98" applyFont="1" applyFill="1" applyBorder="1" applyAlignment="1">
      <alignment horizontal="left" vertical="center" wrapText="1"/>
      <protection/>
    </xf>
    <xf numFmtId="0" fontId="19" fillId="0" borderId="96" xfId="98" applyFont="1" applyFill="1" applyBorder="1" applyAlignment="1">
      <alignment horizontal="left" vertical="center" wrapText="1"/>
      <protection/>
    </xf>
    <xf numFmtId="0" fontId="19" fillId="0" borderId="14" xfId="98" applyBorder="1" applyAlignment="1">
      <alignment horizontal="left" vertical="center" wrapText="1"/>
      <protection/>
    </xf>
    <xf numFmtId="0" fontId="10" fillId="0" borderId="20" xfId="98" applyFont="1" applyFill="1" applyBorder="1" applyAlignment="1">
      <alignment horizontal="left" vertical="center" wrapText="1"/>
      <protection/>
    </xf>
    <xf numFmtId="0" fontId="10" fillId="0" borderId="96" xfId="98" applyFont="1" applyFill="1" applyBorder="1" applyAlignment="1">
      <alignment horizontal="left" vertical="center" wrapText="1"/>
      <protection/>
    </xf>
    <xf numFmtId="0" fontId="19" fillId="0" borderId="96" xfId="98" applyFont="1" applyFill="1" applyBorder="1" applyAlignment="1">
      <alignment wrapText="1"/>
      <protection/>
    </xf>
    <xf numFmtId="0" fontId="19" fillId="0" borderId="14" xfId="98" applyBorder="1" applyAlignment="1">
      <alignment/>
      <protection/>
    </xf>
    <xf numFmtId="0" fontId="21" fillId="0" borderId="19" xfId="98" applyFont="1" applyFill="1" applyBorder="1" applyAlignment="1">
      <alignment horizontal="center" vertical="center" wrapText="1"/>
      <protection/>
    </xf>
    <xf numFmtId="0" fontId="21" fillId="0" borderId="19" xfId="98" applyFont="1" applyFill="1" applyBorder="1" applyAlignment="1">
      <alignment horizontal="center" vertical="center"/>
      <protection/>
    </xf>
    <xf numFmtId="0" fontId="6" fillId="0" borderId="0" xfId="98" applyFont="1" applyFill="1" applyBorder="1" applyAlignment="1">
      <alignment horizontal="center" vertical="center"/>
      <protection/>
    </xf>
    <xf numFmtId="0" fontId="55" fillId="0" borderId="0" xfId="97" applyFont="1" applyBorder="1" applyAlignment="1">
      <alignment horizontal="center" vertical="center"/>
      <protection/>
    </xf>
    <xf numFmtId="0" fontId="55" fillId="0" borderId="0" xfId="97" applyFont="1" applyAlignment="1">
      <alignment horizontal="center" vertical="center"/>
      <protection/>
    </xf>
    <xf numFmtId="0" fontId="55" fillId="0" borderId="0" xfId="97" applyFont="1" applyAlignment="1">
      <alignment horizontal="center"/>
      <protection/>
    </xf>
    <xf numFmtId="0" fontId="55" fillId="0" borderId="0" xfId="97" applyFont="1" applyBorder="1" applyAlignment="1">
      <alignment horizontal="center"/>
      <protection/>
    </xf>
    <xf numFmtId="0" fontId="2" fillId="0" borderId="0" xfId="0" applyFont="1" applyAlignment="1">
      <alignment horizontal="center" wrapText="1"/>
    </xf>
    <xf numFmtId="0" fontId="0" fillId="0" borderId="0" xfId="0" applyBorder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left" vertical="justify" wrapText="1"/>
    </xf>
    <xf numFmtId="0" fontId="2" fillId="0" borderId="0" xfId="97" applyFont="1" applyAlignment="1">
      <alignment horizontal="center"/>
      <protection/>
    </xf>
    <xf numFmtId="0" fontId="2" fillId="0" borderId="0" xfId="97" applyFont="1" applyBorder="1" applyAlignment="1">
      <alignment horizontal="center" vertical="center"/>
      <protection/>
    </xf>
    <xf numFmtId="0" fontId="2" fillId="0" borderId="0" xfId="97" applyFont="1" applyBorder="1" applyAlignment="1">
      <alignment horizontal="center"/>
      <protection/>
    </xf>
    <xf numFmtId="3" fontId="10" fillId="0" borderId="0" xfId="97" applyNumberFormat="1" applyFont="1" applyAlignment="1">
      <alignment horizontal="center"/>
      <protection/>
    </xf>
    <xf numFmtId="0" fontId="10" fillId="0" borderId="47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10" fillId="0" borderId="0" xfId="93" applyFont="1" applyBorder="1" applyAlignment="1">
      <alignment horizontal="center"/>
      <protection/>
    </xf>
    <xf numFmtId="0" fontId="10" fillId="0" borderId="54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0" fillId="0" borderId="19" xfId="0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5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top"/>
    </xf>
    <xf numFmtId="0" fontId="6" fillId="0" borderId="19" xfId="0" applyFont="1" applyFill="1" applyBorder="1" applyAlignment="1">
      <alignment horizontal="center" vertical="top" wrapText="1"/>
    </xf>
    <xf numFmtId="0" fontId="10" fillId="0" borderId="33" xfId="0" applyFont="1" applyFill="1" applyBorder="1" applyAlignment="1">
      <alignment horizontal="center" vertical="top" wrapText="1"/>
    </xf>
    <xf numFmtId="0" fontId="6" fillId="0" borderId="26" xfId="0" applyFont="1" applyFill="1" applyBorder="1" applyAlignment="1">
      <alignment horizontal="center" vertical="top" wrapText="1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55" fillId="0" borderId="47" xfId="0" applyFont="1" applyBorder="1" applyAlignment="1">
      <alignment horizontal="center" vertical="center" wrapText="1"/>
    </xf>
    <xf numFmtId="0" fontId="55" fillId="0" borderId="48" xfId="0" applyFont="1" applyBorder="1" applyAlignment="1">
      <alignment horizontal="center" vertical="center" wrapText="1"/>
    </xf>
    <xf numFmtId="0" fontId="55" fillId="0" borderId="49" xfId="0" applyFont="1" applyBorder="1" applyAlignment="1">
      <alignment horizontal="center" vertical="center" wrapText="1"/>
    </xf>
    <xf numFmtId="0" fontId="50" fillId="0" borderId="21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3" fontId="66" fillId="0" borderId="19" xfId="0" applyNumberFormat="1" applyFont="1" applyBorder="1" applyAlignment="1">
      <alignment horizontal="left" vertical="center" wrapText="1"/>
    </xf>
    <xf numFmtId="3" fontId="66" fillId="0" borderId="26" xfId="0" applyNumberFormat="1" applyFont="1" applyBorder="1" applyAlignment="1">
      <alignment horizontal="left" vertical="center" wrapText="1"/>
    </xf>
    <xf numFmtId="3" fontId="50" fillId="0" borderId="19" xfId="0" applyNumberFormat="1" applyFont="1" applyBorder="1" applyAlignment="1">
      <alignment horizontal="left" vertical="center"/>
    </xf>
    <xf numFmtId="3" fontId="50" fillId="0" borderId="26" xfId="0" applyNumberFormat="1" applyFont="1" applyBorder="1" applyAlignment="1">
      <alignment horizontal="left" vertical="center"/>
    </xf>
    <xf numFmtId="1" fontId="50" fillId="0" borderId="19" xfId="0" applyNumberFormat="1" applyFont="1" applyBorder="1" applyAlignment="1">
      <alignment horizontal="left" vertical="center"/>
    </xf>
    <xf numFmtId="1" fontId="50" fillId="0" borderId="26" xfId="0" applyNumberFormat="1" applyFont="1" applyBorder="1" applyAlignment="1">
      <alignment horizontal="left" vertical="center"/>
    </xf>
    <xf numFmtId="49" fontId="50" fillId="0" borderId="19" xfId="0" applyNumberFormat="1" applyFont="1" applyBorder="1" applyAlignment="1">
      <alignment horizontal="left" vertical="center"/>
    </xf>
    <xf numFmtId="49" fontId="50" fillId="0" borderId="26" xfId="0" applyNumberFormat="1" applyFont="1" applyBorder="1" applyAlignment="1">
      <alignment horizontal="left" vertical="center"/>
    </xf>
    <xf numFmtId="201" fontId="50" fillId="0" borderId="19" xfId="0" applyNumberFormat="1" applyFont="1" applyBorder="1" applyAlignment="1">
      <alignment horizontal="left" vertical="center"/>
    </xf>
    <xf numFmtId="201" fontId="50" fillId="0" borderId="26" xfId="0" applyNumberFormat="1" applyFont="1" applyBorder="1" applyAlignment="1">
      <alignment horizontal="left" vertical="center"/>
    </xf>
    <xf numFmtId="0" fontId="55" fillId="0" borderId="106" xfId="0" applyFont="1" applyBorder="1" applyAlignment="1">
      <alignment horizontal="center" vertical="center"/>
    </xf>
    <xf numFmtId="0" fontId="55" fillId="0" borderId="40" xfId="0" applyFont="1" applyBorder="1" applyAlignment="1">
      <alignment horizontal="center" vertical="center"/>
    </xf>
    <xf numFmtId="0" fontId="55" fillId="0" borderId="144" xfId="0" applyFont="1" applyBorder="1" applyAlignment="1">
      <alignment horizontal="center" vertical="center"/>
    </xf>
    <xf numFmtId="3" fontId="55" fillId="0" borderId="18" xfId="0" applyNumberFormat="1" applyFont="1" applyBorder="1" applyAlignment="1">
      <alignment horizontal="left" vertical="center" wrapText="1"/>
    </xf>
    <xf numFmtId="3" fontId="55" fillId="0" borderId="40" xfId="0" applyNumberFormat="1" applyFont="1" applyBorder="1" applyAlignment="1">
      <alignment horizontal="left" vertical="center" wrapText="1"/>
    </xf>
    <xf numFmtId="3" fontId="55" fillId="0" borderId="144" xfId="0" applyNumberFormat="1" applyFont="1" applyBorder="1" applyAlignment="1">
      <alignment horizontal="left" vertical="center" wrapText="1"/>
    </xf>
    <xf numFmtId="3" fontId="50" fillId="0" borderId="18" xfId="0" applyNumberFormat="1" applyFont="1" applyBorder="1" applyAlignment="1">
      <alignment horizontal="left" vertical="center"/>
    </xf>
    <xf numFmtId="3" fontId="50" fillId="0" borderId="40" xfId="0" applyNumberFormat="1" applyFont="1" applyBorder="1" applyAlignment="1">
      <alignment horizontal="left" vertical="center"/>
    </xf>
    <xf numFmtId="3" fontId="50" fillId="0" borderId="144" xfId="0" applyNumberFormat="1" applyFont="1" applyBorder="1" applyAlignment="1">
      <alignment horizontal="left" vertical="center"/>
    </xf>
    <xf numFmtId="180" fontId="50" fillId="0" borderId="19" xfId="0" applyNumberFormat="1" applyFont="1" applyBorder="1" applyAlignment="1">
      <alignment horizontal="left" vertical="center"/>
    </xf>
    <xf numFmtId="180" fontId="50" fillId="0" borderId="26" xfId="0" applyNumberFormat="1" applyFont="1" applyBorder="1" applyAlignment="1">
      <alignment horizontal="left" vertical="center"/>
    </xf>
    <xf numFmtId="3" fontId="55" fillId="0" borderId="18" xfId="0" applyNumberFormat="1" applyFont="1" applyBorder="1" applyAlignment="1">
      <alignment horizontal="left" vertical="center"/>
    </xf>
    <xf numFmtId="3" fontId="55" fillId="0" borderId="40" xfId="0" applyNumberFormat="1" applyFont="1" applyBorder="1" applyAlignment="1">
      <alignment horizontal="left" vertical="center"/>
    </xf>
    <xf numFmtId="3" fontId="55" fillId="0" borderId="144" xfId="0" applyNumberFormat="1" applyFont="1" applyBorder="1" applyAlignment="1">
      <alignment horizontal="left" vertical="center"/>
    </xf>
    <xf numFmtId="14" fontId="50" fillId="0" borderId="18" xfId="0" applyNumberFormat="1" applyFont="1" applyBorder="1" applyAlignment="1">
      <alignment horizontal="left" vertical="center"/>
    </xf>
    <xf numFmtId="14" fontId="50" fillId="0" borderId="40" xfId="0" applyNumberFormat="1" applyFont="1" applyBorder="1" applyAlignment="1">
      <alignment horizontal="left" vertical="center"/>
    </xf>
    <xf numFmtId="14" fontId="50" fillId="0" borderId="144" xfId="0" applyNumberFormat="1" applyFont="1" applyBorder="1" applyAlignment="1">
      <alignment horizontal="left" vertical="center"/>
    </xf>
    <xf numFmtId="201" fontId="50" fillId="0" borderId="18" xfId="0" applyNumberFormat="1" applyFont="1" applyBorder="1" applyAlignment="1">
      <alignment horizontal="left" vertical="center"/>
    </xf>
    <xf numFmtId="201" fontId="50" fillId="0" borderId="40" xfId="0" applyNumberFormat="1" applyFont="1" applyBorder="1" applyAlignment="1">
      <alignment horizontal="left" vertical="center"/>
    </xf>
    <xf numFmtId="201" fontId="50" fillId="0" borderId="144" xfId="0" applyNumberFormat="1" applyFont="1" applyBorder="1" applyAlignment="1">
      <alignment horizontal="left" vertical="center"/>
    </xf>
    <xf numFmtId="3" fontId="50" fillId="0" borderId="145" xfId="0" applyNumberFormat="1" applyFont="1" applyBorder="1" applyAlignment="1">
      <alignment horizontal="left" vertical="center"/>
    </xf>
    <xf numFmtId="3" fontId="50" fillId="0" borderId="146" xfId="0" applyNumberFormat="1" applyFont="1" applyBorder="1" applyAlignment="1">
      <alignment horizontal="left" vertical="center"/>
    </xf>
    <xf numFmtId="3" fontId="50" fillId="0" borderId="18" xfId="0" applyNumberFormat="1" applyFont="1" applyBorder="1" applyAlignment="1">
      <alignment horizontal="left"/>
    </xf>
    <xf numFmtId="3" fontId="50" fillId="0" borderId="40" xfId="0" applyNumberFormat="1" applyFont="1" applyBorder="1" applyAlignment="1">
      <alignment horizontal="left"/>
    </xf>
    <xf numFmtId="3" fontId="50" fillId="0" borderId="144" xfId="0" applyNumberFormat="1" applyFont="1" applyBorder="1" applyAlignment="1">
      <alignment horizontal="left"/>
    </xf>
    <xf numFmtId="1" fontId="50" fillId="0" borderId="18" xfId="0" applyNumberFormat="1" applyFont="1" applyBorder="1" applyAlignment="1">
      <alignment horizontal="left"/>
    </xf>
    <xf numFmtId="1" fontId="50" fillId="0" borderId="40" xfId="0" applyNumberFormat="1" applyFont="1" applyBorder="1" applyAlignment="1">
      <alignment horizontal="left"/>
    </xf>
    <xf numFmtId="1" fontId="50" fillId="0" borderId="144" xfId="0" applyNumberFormat="1" applyFont="1" applyBorder="1" applyAlignment="1">
      <alignment horizontal="left"/>
    </xf>
    <xf numFmtId="3" fontId="66" fillId="0" borderId="18" xfId="0" applyNumberFormat="1" applyFont="1" applyBorder="1" applyAlignment="1">
      <alignment horizontal="left" vertical="center" wrapText="1"/>
    </xf>
    <xf numFmtId="3" fontId="66" fillId="0" borderId="40" xfId="0" applyNumberFormat="1" applyFont="1" applyBorder="1" applyAlignment="1">
      <alignment horizontal="left" vertical="center" wrapText="1"/>
    </xf>
    <xf numFmtId="3" fontId="66" fillId="0" borderId="144" xfId="0" applyNumberFormat="1" applyFont="1" applyBorder="1" applyAlignment="1">
      <alignment horizontal="left" vertical="center" wrapText="1"/>
    </xf>
    <xf numFmtId="3" fontId="66" fillId="0" borderId="145" xfId="0" applyNumberFormat="1" applyFont="1" applyBorder="1" applyAlignment="1">
      <alignment horizontal="left" vertical="center" wrapText="1"/>
    </xf>
    <xf numFmtId="3" fontId="66" fillId="0" borderId="146" xfId="0" applyNumberFormat="1" applyFont="1" applyBorder="1" applyAlignment="1">
      <alignment horizontal="left" vertical="center" wrapText="1"/>
    </xf>
    <xf numFmtId="1" fontId="50" fillId="0" borderId="145" xfId="0" applyNumberFormat="1" applyFont="1" applyBorder="1" applyAlignment="1">
      <alignment horizontal="left" vertical="center"/>
    </xf>
    <xf numFmtId="1" fontId="50" fillId="0" borderId="146" xfId="0" applyNumberFormat="1" applyFont="1" applyBorder="1" applyAlignment="1">
      <alignment horizontal="left" vertical="center"/>
    </xf>
    <xf numFmtId="0" fontId="50" fillId="0" borderId="147" xfId="0" applyFont="1" applyBorder="1" applyAlignment="1">
      <alignment horizontal="left"/>
    </xf>
    <xf numFmtId="0" fontId="50" fillId="0" borderId="148" xfId="0" applyFont="1" applyBorder="1" applyAlignment="1">
      <alignment horizontal="left"/>
    </xf>
    <xf numFmtId="0" fontId="50" fillId="0" borderId="149" xfId="0" applyFont="1" applyBorder="1" applyAlignment="1">
      <alignment horizontal="left"/>
    </xf>
    <xf numFmtId="16" fontId="67" fillId="0" borderId="0" xfId="95" applyNumberFormat="1" applyFont="1" applyAlignment="1">
      <alignment horizontal="left" vertical="center"/>
      <protection/>
    </xf>
    <xf numFmtId="0" fontId="67" fillId="0" borderId="0" xfId="95" applyFont="1" applyAlignment="1">
      <alignment horizontal="left" vertical="center"/>
      <protection/>
    </xf>
    <xf numFmtId="0" fontId="44" fillId="0" borderId="0" xfId="104" applyFont="1" applyBorder="1" applyAlignment="1">
      <alignment horizontal="center" wrapText="1"/>
      <protection/>
    </xf>
    <xf numFmtId="0" fontId="10" fillId="0" borderId="77" xfId="104" applyFont="1" applyBorder="1" applyAlignment="1">
      <alignment horizontal="center" vertical="center" wrapText="1"/>
      <protection/>
    </xf>
    <xf numFmtId="0" fontId="10" fillId="0" borderId="150" xfId="104" applyFont="1" applyBorder="1" applyAlignment="1">
      <alignment horizontal="center" vertical="center" wrapText="1"/>
      <protection/>
    </xf>
    <xf numFmtId="0" fontId="10" fillId="0" borderId="79" xfId="104" applyFont="1" applyBorder="1" applyAlignment="1">
      <alignment horizontal="center"/>
      <protection/>
    </xf>
    <xf numFmtId="0" fontId="10" fillId="0" borderId="79" xfId="104" applyFont="1" applyBorder="1" applyAlignment="1">
      <alignment horizontal="center" vertical="center" wrapText="1"/>
      <protection/>
    </xf>
    <xf numFmtId="0" fontId="10" fillId="0" borderId="151" xfId="104" applyFont="1" applyBorder="1" applyAlignment="1">
      <alignment horizontal="center" vertical="center" wrapText="1"/>
      <protection/>
    </xf>
    <xf numFmtId="0" fontId="10" fillId="0" borderId="80" xfId="104" applyFont="1" applyBorder="1" applyAlignment="1">
      <alignment horizontal="center" vertical="center" wrapText="1"/>
      <protection/>
    </xf>
    <xf numFmtId="0" fontId="10" fillId="0" borderId="152" xfId="104" applyFont="1" applyBorder="1" applyAlignment="1">
      <alignment horizontal="center" vertical="center" wrapText="1"/>
      <protection/>
    </xf>
    <xf numFmtId="0" fontId="5" fillId="0" borderId="153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54" xfId="0" applyFont="1" applyBorder="1" applyAlignment="1">
      <alignment horizontal="center" vertical="center" wrapText="1"/>
    </xf>
    <xf numFmtId="0" fontId="5" fillId="0" borderId="155" xfId="0" applyFont="1" applyBorder="1" applyAlignment="1">
      <alignment horizontal="center" vertical="center" wrapText="1"/>
    </xf>
    <xf numFmtId="0" fontId="5" fillId="0" borderId="111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15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4" fillId="0" borderId="0" xfId="101" applyFont="1" applyAlignment="1">
      <alignment horizontal="center"/>
      <protection/>
    </xf>
    <xf numFmtId="0" fontId="10" fillId="0" borderId="54" xfId="101" applyFont="1" applyFill="1" applyBorder="1" applyAlignment="1">
      <alignment horizontal="center" wrapText="1"/>
      <protection/>
    </xf>
    <xf numFmtId="0" fontId="7" fillId="0" borderId="45" xfId="101" applyFont="1" applyFill="1" applyBorder="1" applyAlignment="1">
      <alignment horizontal="center" wrapText="1"/>
      <protection/>
    </xf>
    <xf numFmtId="0" fontId="7" fillId="0" borderId="19" xfId="101" applyFont="1" applyFill="1" applyBorder="1" applyAlignment="1">
      <alignment horizontal="center" wrapText="1"/>
      <protection/>
    </xf>
    <xf numFmtId="0" fontId="7" fillId="0" borderId="18" xfId="101" applyFont="1" applyFill="1" applyBorder="1" applyAlignment="1">
      <alignment horizontal="center" wrapText="1"/>
      <protection/>
    </xf>
    <xf numFmtId="0" fontId="10" fillId="0" borderId="153" xfId="101" applyFont="1" applyFill="1" applyBorder="1" applyAlignment="1">
      <alignment horizontal="center" vertical="center" wrapText="1"/>
      <protection/>
    </xf>
    <xf numFmtId="0" fontId="7" fillId="0" borderId="156" xfId="101" applyFont="1" applyFill="1" applyBorder="1" applyAlignment="1">
      <alignment horizontal="center" vertical="center" wrapText="1"/>
      <protection/>
    </xf>
    <xf numFmtId="0" fontId="7" fillId="0" borderId="15" xfId="101" applyFont="1" applyFill="1" applyBorder="1" applyAlignment="1">
      <alignment horizontal="center" vertical="center" wrapText="1"/>
      <protection/>
    </xf>
    <xf numFmtId="0" fontId="7" fillId="0" borderId="34" xfId="101" applyFont="1" applyFill="1" applyBorder="1" applyAlignment="1">
      <alignment horizontal="center" vertical="center" wrapText="1"/>
      <protection/>
    </xf>
    <xf numFmtId="0" fontId="10" fillId="0" borderId="23" xfId="101" applyFont="1" applyFill="1" applyBorder="1" applyAlignment="1">
      <alignment horizontal="center" vertical="center" wrapText="1"/>
      <protection/>
    </xf>
    <xf numFmtId="0" fontId="7" fillId="0" borderId="44" xfId="101" applyFont="1" applyFill="1" applyBorder="1" applyAlignment="1">
      <alignment horizontal="center" vertical="center" wrapText="1"/>
      <protection/>
    </xf>
    <xf numFmtId="0" fontId="10" fillId="0" borderId="20" xfId="101" applyFont="1" applyBorder="1" applyAlignment="1">
      <alignment horizontal="center"/>
      <protection/>
    </xf>
    <xf numFmtId="0" fontId="26" fillId="0" borderId="29" xfId="101" applyFont="1" applyBorder="1" applyAlignment="1">
      <alignment horizontal="center"/>
      <protection/>
    </xf>
    <xf numFmtId="4" fontId="10" fillId="0" borderId="56" xfId="101" applyNumberFormat="1" applyFont="1" applyBorder="1" applyAlignment="1">
      <alignment horizontal="center"/>
      <protection/>
    </xf>
    <xf numFmtId="4" fontId="26" fillId="0" borderId="55" xfId="101" applyNumberFormat="1" applyFont="1" applyBorder="1" applyAlignment="1">
      <alignment horizontal="center"/>
      <protection/>
    </xf>
    <xf numFmtId="0" fontId="10" fillId="0" borderId="111" xfId="101" applyFont="1" applyBorder="1" applyAlignment="1">
      <alignment horizontal="center" vertical="center" wrapText="1"/>
      <protection/>
    </xf>
    <xf numFmtId="0" fontId="7" fillId="0" borderId="109" xfId="101" applyFont="1" applyBorder="1" applyAlignment="1">
      <alignment/>
      <protection/>
    </xf>
    <xf numFmtId="0" fontId="7" fillId="0" borderId="46" xfId="101" applyFont="1" applyBorder="1" applyAlignment="1">
      <alignment/>
      <protection/>
    </xf>
    <xf numFmtId="3" fontId="10" fillId="0" borderId="54" xfId="101" applyNumberFormat="1" applyFont="1" applyBorder="1" applyAlignment="1">
      <alignment horizontal="center" vertical="center" wrapText="1"/>
      <protection/>
    </xf>
    <xf numFmtId="3" fontId="7" fillId="0" borderId="19" xfId="101" applyNumberFormat="1" applyFont="1" applyBorder="1" applyAlignment="1">
      <alignment horizontal="center" vertical="center" wrapText="1"/>
      <protection/>
    </xf>
    <xf numFmtId="3" fontId="7" fillId="0" borderId="25" xfId="101" applyNumberFormat="1" applyFont="1" applyBorder="1" applyAlignment="1">
      <alignment horizontal="center" vertical="center" wrapText="1"/>
      <protection/>
    </xf>
    <xf numFmtId="0" fontId="10" fillId="0" borderId="153" xfId="101" applyFont="1" applyBorder="1" applyAlignment="1">
      <alignment horizontal="center" vertical="center" wrapText="1"/>
      <protection/>
    </xf>
    <xf numFmtId="0" fontId="10" fillId="0" borderId="156" xfId="101" applyFont="1" applyBorder="1" applyAlignment="1">
      <alignment horizontal="center" vertical="center" wrapText="1"/>
      <protection/>
    </xf>
    <xf numFmtId="0" fontId="10" fillId="0" borderId="15" xfId="101" applyFont="1" applyBorder="1" applyAlignment="1">
      <alignment horizontal="center" vertical="center" wrapText="1"/>
      <protection/>
    </xf>
    <xf numFmtId="0" fontId="10" fillId="0" borderId="34" xfId="101" applyFont="1" applyBorder="1" applyAlignment="1">
      <alignment horizontal="center" vertical="center" wrapText="1"/>
      <protection/>
    </xf>
    <xf numFmtId="0" fontId="10" fillId="0" borderId="112" xfId="101" applyFont="1" applyFill="1" applyBorder="1" applyAlignment="1">
      <alignment horizontal="center" wrapText="1"/>
      <protection/>
    </xf>
    <xf numFmtId="0" fontId="10" fillId="0" borderId="14" xfId="101" applyFont="1" applyFill="1" applyBorder="1" applyAlignment="1">
      <alignment horizontal="center" wrapText="1"/>
      <protection/>
    </xf>
    <xf numFmtId="4" fontId="51" fillId="0" borderId="0" xfId="101" applyNumberFormat="1" applyFont="1" applyAlignment="1">
      <alignment wrapText="1"/>
      <protection/>
    </xf>
    <xf numFmtId="0" fontId="62" fillId="0" borderId="0" xfId="101" applyFont="1" applyAlignment="1">
      <alignment/>
      <protection/>
    </xf>
    <xf numFmtId="0" fontId="10" fillId="0" borderId="112" xfId="101" applyFont="1" applyBorder="1" applyAlignment="1">
      <alignment horizontal="center" vertical="center" wrapText="1"/>
      <protection/>
    </xf>
    <xf numFmtId="0" fontId="26" fillId="0" borderId="14" xfId="101" applyFont="1" applyBorder="1" applyAlignment="1">
      <alignment horizontal="center" vertical="center" wrapText="1"/>
      <protection/>
    </xf>
    <xf numFmtId="4" fontId="10" fillId="0" borderId="113" xfId="101" applyNumberFormat="1" applyFont="1" applyBorder="1" applyAlignment="1">
      <alignment horizontal="center" wrapText="1"/>
      <protection/>
    </xf>
    <xf numFmtId="4" fontId="26" fillId="0" borderId="43" xfId="101" applyNumberFormat="1" applyFont="1" applyBorder="1" applyAlignment="1">
      <alignment horizontal="center" wrapText="1"/>
      <protection/>
    </xf>
    <xf numFmtId="3" fontId="10" fillId="0" borderId="20" xfId="101" applyNumberFormat="1" applyFont="1" applyBorder="1" applyAlignment="1">
      <alignment horizontal="center" vertical="center" wrapText="1"/>
      <protection/>
    </xf>
    <xf numFmtId="3" fontId="7" fillId="0" borderId="29" xfId="101" applyNumberFormat="1" applyFont="1" applyBorder="1" applyAlignment="1">
      <alignment horizontal="center" vertical="center" wrapText="1"/>
      <protection/>
    </xf>
    <xf numFmtId="0" fontId="10" fillId="0" borderId="20" xfId="101" applyFont="1" applyFill="1" applyBorder="1" applyAlignment="1">
      <alignment horizontal="center" vertical="center" wrapText="1"/>
      <protection/>
    </xf>
    <xf numFmtId="0" fontId="7" fillId="0" borderId="29" xfId="101" applyFont="1" applyFill="1" applyBorder="1" applyAlignment="1">
      <alignment horizontal="center" vertical="center" wrapText="1"/>
      <protection/>
    </xf>
    <xf numFmtId="3" fontId="10" fillId="0" borderId="20" xfId="101" applyNumberFormat="1" applyFont="1" applyFill="1" applyBorder="1" applyAlignment="1">
      <alignment horizontal="center" vertical="center" wrapText="1"/>
      <protection/>
    </xf>
    <xf numFmtId="3" fontId="7" fillId="0" borderId="29" xfId="101" applyNumberFormat="1" applyFont="1" applyFill="1" applyBorder="1" applyAlignment="1">
      <alignment horizontal="center" vertical="center" wrapText="1"/>
      <protection/>
    </xf>
    <xf numFmtId="0" fontId="10" fillId="0" borderId="29" xfId="101" applyFont="1" applyFill="1" applyBorder="1" applyAlignment="1">
      <alignment horizontal="center" vertical="center" wrapText="1"/>
      <protection/>
    </xf>
    <xf numFmtId="0" fontId="10" fillId="0" borderId="54" xfId="101" applyFont="1" applyBorder="1" applyAlignment="1">
      <alignment horizontal="center" vertical="center" wrapText="1"/>
      <protection/>
    </xf>
    <xf numFmtId="0" fontId="7" fillId="0" borderId="19" xfId="101" applyFont="1" applyBorder="1" applyAlignment="1">
      <alignment horizontal="center" vertical="center" wrapText="1"/>
      <protection/>
    </xf>
    <xf numFmtId="0" fontId="7" fillId="0" borderId="25" xfId="101" applyFont="1" applyBorder="1" applyAlignment="1">
      <alignment horizontal="center" vertical="center" wrapText="1"/>
      <protection/>
    </xf>
    <xf numFmtId="0" fontId="10" fillId="0" borderId="156" xfId="101" applyFont="1" applyFill="1" applyBorder="1" applyAlignment="1">
      <alignment horizontal="center" vertical="center" wrapText="1"/>
      <protection/>
    </xf>
    <xf numFmtId="0" fontId="10" fillId="0" borderId="15" xfId="101" applyFont="1" applyFill="1" applyBorder="1" applyAlignment="1">
      <alignment horizontal="center" vertical="center" wrapText="1"/>
      <protection/>
    </xf>
    <xf numFmtId="0" fontId="10" fillId="0" borderId="34" xfId="101" applyFont="1" applyFill="1" applyBorder="1" applyAlignment="1">
      <alignment horizontal="center" vertical="center" wrapText="1"/>
      <protection/>
    </xf>
    <xf numFmtId="3" fontId="10" fillId="0" borderId="112" xfId="101" applyNumberFormat="1" applyFont="1" applyFill="1" applyBorder="1" applyAlignment="1">
      <alignment horizontal="center" vertical="center" wrapText="1"/>
      <protection/>
    </xf>
    <xf numFmtId="3" fontId="10" fillId="0" borderId="14" xfId="101" applyNumberFormat="1" applyFont="1" applyFill="1" applyBorder="1" applyAlignment="1">
      <alignment horizontal="center" vertical="center" wrapText="1"/>
      <protection/>
    </xf>
    <xf numFmtId="0" fontId="17" fillId="0" borderId="0" xfId="103" applyFont="1" applyAlignment="1">
      <alignment horizontal="center"/>
      <protection/>
    </xf>
    <xf numFmtId="0" fontId="57" fillId="0" borderId="0" xfId="103" applyFont="1" applyAlignment="1">
      <alignment horizontal="center"/>
      <protection/>
    </xf>
    <xf numFmtId="0" fontId="1" fillId="0" borderId="103" xfId="103" applyFont="1" applyBorder="1" applyAlignment="1">
      <alignment horizontal="left" vertical="top"/>
      <protection/>
    </xf>
    <xf numFmtId="0" fontId="1" fillId="0" borderId="90" xfId="103" applyFont="1" applyBorder="1" applyAlignment="1">
      <alignment horizontal="left" vertical="top"/>
      <protection/>
    </xf>
    <xf numFmtId="0" fontId="0" fillId="0" borderId="0" xfId="103" applyAlignment="1">
      <alignment horizontal="center"/>
      <protection/>
    </xf>
    <xf numFmtId="3" fontId="2" fillId="0" borderId="154" xfId="103" applyNumberFormat="1" applyFont="1" applyBorder="1" applyAlignment="1">
      <alignment horizontal="center"/>
      <protection/>
    </xf>
    <xf numFmtId="3" fontId="2" fillId="0" borderId="157" xfId="103" applyNumberFormat="1" applyFont="1" applyBorder="1" applyAlignment="1">
      <alignment horizontal="center"/>
      <protection/>
    </xf>
    <xf numFmtId="0" fontId="1" fillId="0" borderId="0" xfId="94" applyFont="1" applyBorder="1" applyAlignment="1">
      <alignment horizontal="left"/>
      <protection/>
    </xf>
    <xf numFmtId="0" fontId="17" fillId="0" borderId="0" xfId="94" applyFont="1" applyBorder="1" applyAlignment="1">
      <alignment horizontal="center"/>
      <protection/>
    </xf>
    <xf numFmtId="0" fontId="1" fillId="0" borderId="0" xfId="103" applyFont="1" applyAlignment="1">
      <alignment horizontal="left"/>
      <protection/>
    </xf>
    <xf numFmtId="0" fontId="0" fillId="0" borderId="0" xfId="103" applyAlignment="1">
      <alignment/>
      <protection/>
    </xf>
    <xf numFmtId="0" fontId="10" fillId="0" borderId="0" xfId="100" applyFont="1" applyAlignment="1">
      <alignment horizontal="center"/>
      <protection/>
    </xf>
    <xf numFmtId="0" fontId="26" fillId="0" borderId="0" xfId="100" applyFont="1" applyAlignment="1">
      <alignment horizontal="left"/>
      <protection/>
    </xf>
    <xf numFmtId="0" fontId="55" fillId="0" borderId="0" xfId="102" applyFont="1" applyAlignment="1">
      <alignment horizontal="center"/>
      <protection/>
    </xf>
    <xf numFmtId="0" fontId="67" fillId="0" borderId="0" xfId="95" applyFont="1" applyAlignment="1">
      <alignment horizontal="left"/>
      <protection/>
    </xf>
    <xf numFmtId="0" fontId="26" fillId="0" borderId="0" xfId="95" applyFont="1" applyAlignment="1">
      <alignment horizontal="center" vertical="center" wrapText="1"/>
      <protection/>
    </xf>
    <xf numFmtId="0" fontId="26" fillId="0" borderId="158" xfId="95" applyFont="1" applyBorder="1" applyAlignment="1">
      <alignment horizontal="center" vertical="center"/>
      <protection/>
    </xf>
    <xf numFmtId="0" fontId="26" fillId="0" borderId="159" xfId="95" applyFont="1" applyBorder="1" applyAlignment="1">
      <alignment horizontal="center" vertical="center"/>
      <protection/>
    </xf>
    <xf numFmtId="0" fontId="26" fillId="0" borderId="78" xfId="95" applyFont="1" applyBorder="1" applyAlignment="1">
      <alignment horizontal="center" vertical="center"/>
      <protection/>
    </xf>
    <xf numFmtId="0" fontId="26" fillId="0" borderId="160" xfId="95" applyFont="1" applyBorder="1" applyAlignment="1">
      <alignment horizontal="center" vertical="center"/>
      <protection/>
    </xf>
    <xf numFmtId="0" fontId="26" fillId="0" borderId="161" xfId="95" applyFont="1" applyBorder="1" applyAlignment="1">
      <alignment horizontal="center" vertical="center"/>
      <protection/>
    </xf>
    <xf numFmtId="0" fontId="26" fillId="0" borderId="162" xfId="95" applyFont="1" applyBorder="1" applyAlignment="1">
      <alignment horizontal="center" vertical="center" wrapText="1"/>
      <protection/>
    </xf>
    <xf numFmtId="0" fontId="26" fillId="0" borderId="120" xfId="95" applyFont="1" applyBorder="1" applyAlignment="1">
      <alignment horizontal="center" vertical="center" wrapText="1"/>
      <protection/>
    </xf>
    <xf numFmtId="0" fontId="26" fillId="0" borderId="63" xfId="95" applyFont="1" applyBorder="1" applyAlignment="1">
      <alignment horizontal="left" vertical="center"/>
      <protection/>
    </xf>
    <xf numFmtId="0" fontId="26" fillId="0" borderId="57" xfId="95" applyFont="1" applyBorder="1" applyAlignment="1">
      <alignment horizontal="left" vertical="center"/>
      <protection/>
    </xf>
    <xf numFmtId="0" fontId="26" fillId="0" borderId="64" xfId="95" applyFont="1" applyBorder="1" applyAlignment="1">
      <alignment horizontal="left" vertical="center"/>
      <protection/>
    </xf>
    <xf numFmtId="0" fontId="26" fillId="0" borderId="65" xfId="95" applyFont="1" applyBorder="1" applyAlignment="1">
      <alignment horizontal="left" vertical="center"/>
      <protection/>
    </xf>
    <xf numFmtId="0" fontId="19" fillId="0" borderId="159" xfId="95" applyFont="1" applyBorder="1" applyAlignment="1">
      <alignment horizontal="left" vertical="center"/>
      <protection/>
    </xf>
    <xf numFmtId="0" fontId="19" fillId="0" borderId="119" xfId="95" applyFont="1" applyBorder="1" applyAlignment="1">
      <alignment horizontal="left" vertical="center"/>
      <protection/>
    </xf>
    <xf numFmtId="0" fontId="26" fillId="0" borderId="77" xfId="95" applyFont="1" applyBorder="1" applyAlignment="1">
      <alignment horizontal="left" vertical="center"/>
      <protection/>
    </xf>
    <xf numFmtId="0" fontId="26" fillId="0" borderId="79" xfId="95" applyFont="1" applyBorder="1" applyAlignment="1">
      <alignment horizontal="left" vertical="center"/>
      <protection/>
    </xf>
    <xf numFmtId="0" fontId="26" fillId="0" borderId="79" xfId="95" applyFont="1" applyBorder="1" applyAlignment="1">
      <alignment horizontal="center" vertical="center"/>
      <protection/>
    </xf>
    <xf numFmtId="0" fontId="26" fillId="0" borderId="80" xfId="95" applyFont="1" applyBorder="1" applyAlignment="1">
      <alignment horizontal="center" vertical="center" wrapText="1"/>
      <protection/>
    </xf>
    <xf numFmtId="0" fontId="26" fillId="0" borderId="72" xfId="95" applyFont="1" applyBorder="1" applyAlignment="1">
      <alignment horizontal="center" vertical="center" wrapText="1"/>
      <protection/>
    </xf>
  </cellXfs>
  <cellStyles count="10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(1)" xfId="80"/>
    <cellStyle name="Jelölőszín (2)" xfId="81"/>
    <cellStyle name="Jelölőszín (3)" xfId="82"/>
    <cellStyle name="Jelölőszín (4)" xfId="83"/>
    <cellStyle name="Jelölőszín (5)" xfId="84"/>
    <cellStyle name="Jelölőszín (6)" xfId="85"/>
    <cellStyle name="Jó" xfId="86"/>
    <cellStyle name="Kimenet" xfId="87"/>
    <cellStyle name="Linked Cell" xfId="88"/>
    <cellStyle name="Magyarázó szöveg" xfId="89"/>
    <cellStyle name="Followed Hyperlink" xfId="90"/>
    <cellStyle name="Neutral" xfId="91"/>
    <cellStyle name="Normál_2011 ktv. táblák" xfId="92"/>
    <cellStyle name="Normál_2012. költségvetési táblák 2012 02 06-2(Kötvényes tábla)" xfId="93"/>
    <cellStyle name="Normál_22. melléklet" xfId="94"/>
    <cellStyle name="Normál_26.2. melléklet kötelezettségek alakulása" xfId="95"/>
    <cellStyle name="Normál_9702KV1_2011 ktv. táblák" xfId="96"/>
    <cellStyle name="Normál_Beruh.felú-átadott-átvett" xfId="97"/>
    <cellStyle name="Normál_Javított intézményi tábla 03.11." xfId="98"/>
    <cellStyle name="Normál_KTGVET98" xfId="99"/>
    <cellStyle name="Normál_Pénzmaradvány" xfId="100"/>
    <cellStyle name="Normál_PÉNZÜGYI ELLÁTOTTSÁG 2012. BESZÁMOLÓHOZ-1" xfId="101"/>
    <cellStyle name="Normál_Részesedések12.12" xfId="102"/>
    <cellStyle name="Normál_teljesítés tábla 04.13 " xfId="103"/>
    <cellStyle name="Normál_teljesítés tábla 04.13 -1" xfId="104"/>
    <cellStyle name="Note" xfId="105"/>
    <cellStyle name="Output" xfId="106"/>
    <cellStyle name="Összesen" xfId="107"/>
    <cellStyle name="Currency" xfId="108"/>
    <cellStyle name="Currency [0]" xfId="109"/>
    <cellStyle name="Rossz" xfId="110"/>
    <cellStyle name="Semleges" xfId="111"/>
    <cellStyle name="Számítás" xfId="112"/>
    <cellStyle name="Percent" xfId="113"/>
    <cellStyle name="Title" xfId="114"/>
    <cellStyle name="Total" xfId="115"/>
    <cellStyle name="Warning Text" xfId="1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externalLink" Target="externalLinks/externalLink4.xml" /><Relationship Id="rId35" Type="http://schemas.openxmlformats.org/officeDocument/2006/relationships/externalLink" Target="externalLinks/externalLink5.xml" /><Relationship Id="rId36" Type="http://schemas.openxmlformats.org/officeDocument/2006/relationships/externalLink" Target="externalLinks/externalLink6.xml" /><Relationship Id="rId37" Type="http://schemas.openxmlformats.org/officeDocument/2006/relationships/externalLink" Target="externalLinks/externalLink7.xml" /><Relationship Id="rId38" Type="http://schemas.openxmlformats.org/officeDocument/2006/relationships/externalLink" Target="externalLinks/externalLink8.xml" /><Relationship Id="rId39" Type="http://schemas.openxmlformats.org/officeDocument/2006/relationships/externalLink" Target="externalLinks/externalLink9.xml" /><Relationship Id="rId40" Type="http://schemas.openxmlformats.org/officeDocument/2006/relationships/externalLink" Target="externalLinks/externalLink10.xml" /><Relationship Id="rId4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&#233;nz&#252;gyi%20Titk&#225;rs&#225;g\Dokumentumok\el&#337;terjeszt&#233;sek\2012\M&#225;jus\T&#225;j&#233;koztat&#243;%20t&#225;bl&#225;k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T&#225;j&#233;koztat&#243;%20t&#225;bl&#225;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2012.%20k&#246;lts&#233;gvet&#233;si%20t&#225;bl&#225;k%202012%2002%2006-2(K&#246;tv&#233;nyes%20t&#225;bl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Local%20Settings\Temp\2012.%20&#233;vi%20k&#246;lts&#233;gvet&#233;si%20t&#225;bl&#225;k%202010.01.05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DOCUME~1\ZSOMBO~1\LOCALS~1\Temp\DOCUME~1\ZSOMBO~1\LOCALS~1\Temp\Barbara\10.%20mell&#233;klet%20Ic&#225;nak%20(%20cellat&#246;rl&#337;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&#233;nz&#252;gyi%20Titk&#225;rs&#225;g\Dokumentumok\el&#337;terjeszt&#233;sek\2012\M&#225;jus\T&#225;j&#233;koztat&#243;%20t&#225;bl&#225;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&#233;nz&#252;gyi%20Titk&#225;rs&#225;g\Dokumentumok\el&#337;terjeszt&#233;sek\2012\M&#225;jus\2012.%20&#233;vi%20k&#246;lts&#233;gvet&#233;si%20t&#225;bl&#225;k%202010.01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1.b. melléklet"/>
      <sheetName val="2. sz. melléklet"/>
      <sheetName val="3.sz. melléklet"/>
      <sheetName val="4. sz. melléklet"/>
      <sheetName val="5. sz. melléklet"/>
      <sheetName val="6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  <sheetName val="16. sz. melléklet"/>
      <sheetName val="17.sz. melléklet"/>
      <sheetName val="17.a. 17.b. sz. melléklet"/>
      <sheetName val="18. sz. melléklet"/>
      <sheetName val="Kiadások elemzé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view="pageBreakPreview" zoomScaleSheetLayoutView="100" workbookViewId="0" topLeftCell="A1">
      <selection activeCell="H58" sqref="H58"/>
    </sheetView>
  </sheetViews>
  <sheetFormatPr defaultColWidth="9.00390625" defaultRowHeight="12.75"/>
  <cols>
    <col min="1" max="1" width="6.25390625" style="2" customWidth="1"/>
    <col min="2" max="2" width="56.00390625" style="2" customWidth="1"/>
    <col min="3" max="3" width="9.75390625" style="2" customWidth="1"/>
    <col min="4" max="4" width="12.25390625" style="2" customWidth="1"/>
    <col min="5" max="5" width="10.375" style="2" customWidth="1"/>
    <col min="6" max="6" width="9.875" style="2" customWidth="1"/>
    <col min="7" max="7" width="6.125" style="2" customWidth="1"/>
    <col min="8" max="8" width="57.625" style="2" customWidth="1"/>
    <col min="9" max="9" width="9.75390625" style="2" customWidth="1"/>
    <col min="10" max="10" width="11.00390625" style="7" customWidth="1"/>
    <col min="11" max="16384" width="9.125" style="2" customWidth="1"/>
  </cols>
  <sheetData>
    <row r="1" ht="12.75">
      <c r="A1" s="35"/>
    </row>
    <row r="2" spans="1:12" ht="12.75">
      <c r="A2" s="1347" t="s">
        <v>543</v>
      </c>
      <c r="B2" s="1347"/>
      <c r="C2" s="1347"/>
      <c r="D2" s="1347"/>
      <c r="E2" s="1347"/>
      <c r="F2" s="1347"/>
      <c r="G2" s="1347"/>
      <c r="H2" s="1347"/>
      <c r="I2" s="1347"/>
      <c r="J2" s="1347"/>
      <c r="K2" s="1347"/>
      <c r="L2" s="1347"/>
    </row>
    <row r="3" spans="1:8" ht="13.5" thickBot="1">
      <c r="A3" s="115"/>
      <c r="B3" s="115"/>
      <c r="C3" s="116"/>
      <c r="D3" s="7"/>
      <c r="E3" s="7"/>
      <c r="F3" s="7"/>
      <c r="G3" s="7"/>
      <c r="H3" s="7"/>
    </row>
    <row r="4" spans="1:12" ht="13.5" customHeight="1">
      <c r="A4" s="1341" t="s">
        <v>760</v>
      </c>
      <c r="B4" s="1342"/>
      <c r="C4" s="1342"/>
      <c r="D4" s="1342"/>
      <c r="E4" s="1342"/>
      <c r="F4" s="1343"/>
      <c r="G4" s="1344" t="s">
        <v>761</v>
      </c>
      <c r="H4" s="1345"/>
      <c r="I4" s="1345"/>
      <c r="J4" s="1345"/>
      <c r="K4" s="1345"/>
      <c r="L4" s="1346"/>
    </row>
    <row r="5" spans="1:12" ht="31.5" customHeight="1" thickBot="1">
      <c r="A5" s="132"/>
      <c r="B5" s="133"/>
      <c r="C5" s="134" t="s">
        <v>753</v>
      </c>
      <c r="D5" s="219" t="s">
        <v>550</v>
      </c>
      <c r="E5" s="137" t="s">
        <v>535</v>
      </c>
      <c r="F5" s="248" t="s">
        <v>536</v>
      </c>
      <c r="G5" s="135"/>
      <c r="H5" s="136"/>
      <c r="I5" s="137" t="s">
        <v>754</v>
      </c>
      <c r="J5" s="249" t="s">
        <v>550</v>
      </c>
      <c r="K5" s="137" t="s">
        <v>535</v>
      </c>
      <c r="L5" s="248" t="s">
        <v>536</v>
      </c>
    </row>
    <row r="6" spans="1:12" ht="13.5" customHeight="1">
      <c r="A6" s="97" t="s">
        <v>727</v>
      </c>
      <c r="B6" s="130"/>
      <c r="C6" s="131">
        <v>293134</v>
      </c>
      <c r="D6" s="220">
        <v>366866</v>
      </c>
      <c r="E6" s="288">
        <v>392565</v>
      </c>
      <c r="F6" s="751">
        <f>E6/D6</f>
        <v>1.0700501000365257</v>
      </c>
      <c r="G6" s="76" t="s">
        <v>757</v>
      </c>
      <c r="H6" s="77"/>
      <c r="I6" s="91">
        <v>1689559</v>
      </c>
      <c r="J6" s="229">
        <v>1511795</v>
      </c>
      <c r="K6" s="28">
        <v>1481205</v>
      </c>
      <c r="L6" s="752">
        <f>K6/J6</f>
        <v>0.979765775121627</v>
      </c>
    </row>
    <row r="7" spans="1:12" ht="13.5" customHeight="1">
      <c r="A7" s="97"/>
      <c r="B7" s="78"/>
      <c r="C7" s="114"/>
      <c r="D7" s="247"/>
      <c r="E7" s="36"/>
      <c r="F7" s="751"/>
      <c r="G7" s="76"/>
      <c r="H7" s="77"/>
      <c r="I7" s="91"/>
      <c r="J7" s="81"/>
      <c r="K7" s="27"/>
      <c r="L7" s="752"/>
    </row>
    <row r="8" spans="1:12" ht="12.75" customHeight="1">
      <c r="A8" s="59" t="s">
        <v>647</v>
      </c>
      <c r="B8" s="47"/>
      <c r="C8" s="95">
        <f>SUM(C9:C14)</f>
        <v>2052412</v>
      </c>
      <c r="D8" s="221">
        <f>SUM(D9:D14)</f>
        <v>2151827</v>
      </c>
      <c r="E8" s="95">
        <f>SUM(E9:E14)</f>
        <v>2263351</v>
      </c>
      <c r="F8" s="751">
        <f aca="true" t="shared" si="0" ref="F8:F54">E8/D8</f>
        <v>1.051827586511369</v>
      </c>
      <c r="G8" s="57"/>
      <c r="H8" s="33"/>
      <c r="I8" s="92"/>
      <c r="J8" s="81"/>
      <c r="K8" s="27"/>
      <c r="L8" s="752"/>
    </row>
    <row r="9" spans="1:12" ht="12.75">
      <c r="A9" s="98"/>
      <c r="B9" s="54" t="s">
        <v>638</v>
      </c>
      <c r="C9" s="27">
        <v>1317500</v>
      </c>
      <c r="D9" s="81">
        <v>1407500</v>
      </c>
      <c r="E9" s="27">
        <v>1500259</v>
      </c>
      <c r="F9" s="751">
        <f t="shared" si="0"/>
        <v>1.0659033747779751</v>
      </c>
      <c r="G9" s="57" t="s">
        <v>798</v>
      </c>
      <c r="H9" s="32"/>
      <c r="I9" s="93">
        <v>459656</v>
      </c>
      <c r="J9" s="87">
        <v>399989</v>
      </c>
      <c r="K9" s="28">
        <v>393164</v>
      </c>
      <c r="L9" s="752">
        <f>K9/J9</f>
        <v>0.9829370307683462</v>
      </c>
    </row>
    <row r="10" spans="1:12" ht="25.5">
      <c r="A10" s="99"/>
      <c r="B10" s="53" t="s">
        <v>714</v>
      </c>
      <c r="C10" s="36">
        <v>651645</v>
      </c>
      <c r="D10" s="88">
        <v>651645</v>
      </c>
      <c r="E10" s="36">
        <v>664415</v>
      </c>
      <c r="F10" s="751">
        <f t="shared" si="0"/>
        <v>1.019596559476402</v>
      </c>
      <c r="G10" s="57"/>
      <c r="H10" s="32"/>
      <c r="I10" s="93"/>
      <c r="J10" s="81"/>
      <c r="K10" s="27"/>
      <c r="L10" s="752"/>
    </row>
    <row r="11" spans="1:12" ht="12.75">
      <c r="A11" s="99"/>
      <c r="B11" s="48" t="s">
        <v>659</v>
      </c>
      <c r="C11" s="36">
        <v>3000</v>
      </c>
      <c r="D11" s="88">
        <v>2000</v>
      </c>
      <c r="E11" s="36">
        <v>5914</v>
      </c>
      <c r="F11" s="751">
        <f t="shared" si="0"/>
        <v>2.957</v>
      </c>
      <c r="G11" s="57" t="s">
        <v>715</v>
      </c>
      <c r="H11" s="32"/>
      <c r="I11" s="93">
        <f>SUM(I12:I13)</f>
        <v>1503086</v>
      </c>
      <c r="J11" s="224">
        <f>SUM(J12:J13)</f>
        <v>1478640</v>
      </c>
      <c r="K11" s="224">
        <f>SUM(K12:K13)</f>
        <v>1324894</v>
      </c>
      <c r="L11" s="752">
        <f>K11/J11</f>
        <v>0.8960220202348104</v>
      </c>
    </row>
    <row r="12" spans="1:12" ht="12.75">
      <c r="A12" s="100"/>
      <c r="B12" s="48" t="s">
        <v>655</v>
      </c>
      <c r="C12" s="36">
        <v>3000</v>
      </c>
      <c r="D12" s="88">
        <v>3000</v>
      </c>
      <c r="E12" s="36">
        <v>4569</v>
      </c>
      <c r="F12" s="751">
        <f t="shared" si="0"/>
        <v>1.523</v>
      </c>
      <c r="G12" s="58"/>
      <c r="H12" s="32" t="s">
        <v>758</v>
      </c>
      <c r="I12" s="92">
        <f>1503086-57415</f>
        <v>1445671</v>
      </c>
      <c r="J12" s="81">
        <v>1417487</v>
      </c>
      <c r="K12" s="27">
        <v>1278918</v>
      </c>
      <c r="L12" s="752">
        <f>K12/J12</f>
        <v>0.9022431951756876</v>
      </c>
    </row>
    <row r="13" spans="1:12" ht="12.75">
      <c r="A13" s="58"/>
      <c r="B13" s="32" t="s">
        <v>656</v>
      </c>
      <c r="C13" s="27">
        <v>38027</v>
      </c>
      <c r="D13" s="81">
        <v>32692</v>
      </c>
      <c r="E13" s="27">
        <v>33191</v>
      </c>
      <c r="F13" s="751">
        <f t="shared" si="0"/>
        <v>1.015263673069864</v>
      </c>
      <c r="G13" s="58"/>
      <c r="H13" s="32" t="s">
        <v>720</v>
      </c>
      <c r="I13" s="27">
        <v>57415</v>
      </c>
      <c r="J13" s="81">
        <v>61153</v>
      </c>
      <c r="K13" s="27">
        <v>45976</v>
      </c>
      <c r="L13" s="752">
        <f>K13/J13</f>
        <v>0.7518192075613624</v>
      </c>
    </row>
    <row r="14" spans="1:12" ht="12.75">
      <c r="A14" s="58"/>
      <c r="B14" s="32" t="s">
        <v>657</v>
      </c>
      <c r="C14" s="27">
        <v>39240</v>
      </c>
      <c r="D14" s="81">
        <v>54990</v>
      </c>
      <c r="E14" s="27">
        <v>55003</v>
      </c>
      <c r="F14" s="751">
        <f t="shared" si="0"/>
        <v>1.0002364066193854</v>
      </c>
      <c r="G14" s="58"/>
      <c r="H14" s="32"/>
      <c r="I14" s="27"/>
      <c r="J14" s="81"/>
      <c r="K14" s="27"/>
      <c r="L14" s="752"/>
    </row>
    <row r="15" spans="1:12" ht="12.75">
      <c r="A15" s="58"/>
      <c r="B15" s="32"/>
      <c r="C15" s="27"/>
      <c r="D15" s="81"/>
      <c r="E15" s="27"/>
      <c r="F15" s="751"/>
      <c r="G15" s="59" t="s">
        <v>716</v>
      </c>
      <c r="H15" s="47"/>
      <c r="I15" s="74">
        <f>SUM(I16:I18)</f>
        <v>557740</v>
      </c>
      <c r="J15" s="225">
        <f>SUM(J16:J18)</f>
        <v>592586</v>
      </c>
      <c r="K15" s="225">
        <f>SUM(K16:K18)</f>
        <v>534918</v>
      </c>
      <c r="L15" s="752">
        <f>K15/J15</f>
        <v>0.9026841673613619</v>
      </c>
    </row>
    <row r="16" spans="1:12" ht="14.25" customHeight="1">
      <c r="A16" s="101" t="s">
        <v>639</v>
      </c>
      <c r="B16" s="52"/>
      <c r="C16" s="95">
        <f>SUM(C17:C19)</f>
        <v>975132</v>
      </c>
      <c r="D16" s="221">
        <f>SUM(D17:D20)</f>
        <v>1030375</v>
      </c>
      <c r="E16" s="95">
        <f>SUM(E17:E20)</f>
        <v>1030375</v>
      </c>
      <c r="F16" s="751">
        <f t="shared" si="0"/>
        <v>1</v>
      </c>
      <c r="G16" s="58"/>
      <c r="H16" s="32" t="s">
        <v>602</v>
      </c>
      <c r="I16" s="92">
        <v>346470</v>
      </c>
      <c r="J16" s="81">
        <v>395864</v>
      </c>
      <c r="K16" s="27">
        <v>353714</v>
      </c>
      <c r="L16" s="752">
        <f>K16/J16</f>
        <v>0.8935240385586969</v>
      </c>
    </row>
    <row r="17" spans="1:12" ht="12.75">
      <c r="A17" s="58"/>
      <c r="B17" s="27" t="s">
        <v>603</v>
      </c>
      <c r="C17" s="27">
        <v>861384</v>
      </c>
      <c r="D17" s="81">
        <v>870089</v>
      </c>
      <c r="E17" s="27">
        <v>870089</v>
      </c>
      <c r="F17" s="751">
        <f t="shared" si="0"/>
        <v>1</v>
      </c>
      <c r="G17" s="57"/>
      <c r="H17" s="51" t="s">
        <v>717</v>
      </c>
      <c r="I17" s="94">
        <v>201850</v>
      </c>
      <c r="J17" s="81">
        <v>188360</v>
      </c>
      <c r="K17" s="27">
        <v>172842</v>
      </c>
      <c r="L17" s="752">
        <f>K17/J17</f>
        <v>0.917615204926736</v>
      </c>
    </row>
    <row r="18" spans="1:12" ht="12.75">
      <c r="A18" s="102"/>
      <c r="B18" s="44" t="s">
        <v>523</v>
      </c>
      <c r="C18" s="27">
        <v>113710</v>
      </c>
      <c r="D18" s="81">
        <v>85936</v>
      </c>
      <c r="E18" s="27">
        <v>85936</v>
      </c>
      <c r="F18" s="751">
        <f t="shared" si="0"/>
        <v>1</v>
      </c>
      <c r="G18" s="57"/>
      <c r="H18" s="51" t="s">
        <v>764</v>
      </c>
      <c r="I18" s="94">
        <v>9420</v>
      </c>
      <c r="J18" s="81">
        <v>8362</v>
      </c>
      <c r="K18" s="27">
        <v>8362</v>
      </c>
      <c r="L18" s="752">
        <f>K18/J18</f>
        <v>1</v>
      </c>
    </row>
    <row r="19" spans="1:12" ht="12.75">
      <c r="A19" s="58"/>
      <c r="B19" s="32" t="s">
        <v>521</v>
      </c>
      <c r="C19" s="27">
        <v>38</v>
      </c>
      <c r="D19" s="81">
        <v>310</v>
      </c>
      <c r="E19" s="27">
        <v>310</v>
      </c>
      <c r="F19" s="751">
        <f t="shared" si="0"/>
        <v>1</v>
      </c>
      <c r="G19" s="57"/>
      <c r="H19" s="51"/>
      <c r="I19" s="92"/>
      <c r="J19" s="81"/>
      <c r="K19" s="27"/>
      <c r="L19" s="752"/>
    </row>
    <row r="20" spans="1:12" ht="12.75">
      <c r="A20" s="103"/>
      <c r="B20" s="41" t="s">
        <v>620</v>
      </c>
      <c r="C20" s="27"/>
      <c r="D20" s="81">
        <v>74040</v>
      </c>
      <c r="E20" s="27">
        <v>74040</v>
      </c>
      <c r="F20" s="751">
        <f t="shared" si="0"/>
        <v>1</v>
      </c>
      <c r="G20" s="57" t="s">
        <v>718</v>
      </c>
      <c r="H20" s="33"/>
      <c r="I20" s="74">
        <v>1540001</v>
      </c>
      <c r="J20" s="87">
        <v>791796</v>
      </c>
      <c r="K20" s="28">
        <v>220936</v>
      </c>
      <c r="L20" s="752">
        <f>K20/J20</f>
        <v>0.27903146770127657</v>
      </c>
    </row>
    <row r="21" spans="1:12" ht="12.75">
      <c r="A21" s="104" t="s">
        <v>640</v>
      </c>
      <c r="B21" s="50"/>
      <c r="C21" s="95">
        <f>SUM(C22:C24)</f>
        <v>932618</v>
      </c>
      <c r="D21" s="221">
        <f>SUM(D22:D24)</f>
        <v>488241</v>
      </c>
      <c r="E21" s="95">
        <f>SUM(E22:E24)</f>
        <v>482943</v>
      </c>
      <c r="F21" s="751">
        <f t="shared" si="0"/>
        <v>0.9891488015140064</v>
      </c>
      <c r="G21" s="57"/>
      <c r="H21" s="33"/>
      <c r="I21" s="93"/>
      <c r="J21" s="81"/>
      <c r="K21" s="27"/>
      <c r="L21" s="752"/>
    </row>
    <row r="22" spans="1:12" ht="12.75">
      <c r="A22" s="105"/>
      <c r="B22" s="49" t="s">
        <v>800</v>
      </c>
      <c r="C22" s="36">
        <v>175778</v>
      </c>
      <c r="D22" s="88">
        <v>202949</v>
      </c>
      <c r="E22" s="36">
        <v>205723</v>
      </c>
      <c r="F22" s="751">
        <f t="shared" si="0"/>
        <v>1.0136684585782636</v>
      </c>
      <c r="G22" s="57" t="s">
        <v>719</v>
      </c>
      <c r="H22" s="33"/>
      <c r="I22" s="93">
        <v>32851</v>
      </c>
      <c r="J22" s="87">
        <v>94267</v>
      </c>
      <c r="K22" s="28">
        <v>83792</v>
      </c>
      <c r="L22" s="752">
        <f>K22/J22</f>
        <v>0.8888794594078522</v>
      </c>
    </row>
    <row r="23" spans="1:12" ht="12.75">
      <c r="A23" s="58"/>
      <c r="B23" s="32" t="s">
        <v>618</v>
      </c>
      <c r="C23" s="27">
        <v>744000</v>
      </c>
      <c r="D23" s="81">
        <v>261458</v>
      </c>
      <c r="E23" s="27">
        <v>261462</v>
      </c>
      <c r="F23" s="751">
        <f t="shared" si="0"/>
        <v>1.0000152988242854</v>
      </c>
      <c r="G23" s="57"/>
      <c r="H23" s="33"/>
      <c r="I23" s="93"/>
      <c r="J23" s="81"/>
      <c r="K23" s="27"/>
      <c r="L23" s="752"/>
    </row>
    <row r="24" spans="1:12" ht="30" customHeight="1">
      <c r="A24" s="99"/>
      <c r="B24" s="48" t="s">
        <v>641</v>
      </c>
      <c r="C24" s="36">
        <v>12840</v>
      </c>
      <c r="D24" s="88">
        <v>23834</v>
      </c>
      <c r="E24" s="36">
        <v>15758</v>
      </c>
      <c r="F24" s="751">
        <f t="shared" si="0"/>
        <v>0.6611563312914324</v>
      </c>
      <c r="G24" s="1356" t="s">
        <v>721</v>
      </c>
      <c r="H24" s="1357"/>
      <c r="I24" s="74">
        <v>42352</v>
      </c>
      <c r="J24" s="87">
        <v>97535</v>
      </c>
      <c r="K24" s="28">
        <v>33386</v>
      </c>
      <c r="L24" s="752">
        <f>K24/J24</f>
        <v>0.34229763674578356</v>
      </c>
    </row>
    <row r="25" spans="1:12" ht="12.75">
      <c r="A25" s="58"/>
      <c r="B25" s="32"/>
      <c r="C25" s="32"/>
      <c r="D25" s="222"/>
      <c r="E25" s="32"/>
      <c r="F25" s="751"/>
      <c r="G25" s="58"/>
      <c r="H25" s="32"/>
      <c r="I25" s="27"/>
      <c r="J25" s="81"/>
      <c r="K25" s="27"/>
      <c r="L25" s="752"/>
    </row>
    <row r="26" spans="1:12" ht="14.25" customHeight="1">
      <c r="A26" s="101" t="s">
        <v>642</v>
      </c>
      <c r="B26" s="47"/>
      <c r="C26" s="95">
        <f>SUM(C27:C33)</f>
        <v>355182</v>
      </c>
      <c r="D26" s="221">
        <f>SUM(D27:D35)</f>
        <v>274769</v>
      </c>
      <c r="E26" s="95">
        <f>SUM(E27:E35)</f>
        <v>278914</v>
      </c>
      <c r="F26" s="751">
        <f t="shared" si="0"/>
        <v>1.0150853990078939</v>
      </c>
      <c r="G26" s="59" t="s">
        <v>723</v>
      </c>
      <c r="H26" s="32"/>
      <c r="I26" s="95">
        <f>SUM(I27:I28)</f>
        <v>149000</v>
      </c>
      <c r="J26" s="221">
        <f>SUM(J27:J29)</f>
        <v>43362</v>
      </c>
      <c r="K26" s="221">
        <f>SUM(K27:K29)</f>
        <v>0</v>
      </c>
      <c r="L26" s="752"/>
    </row>
    <row r="27" spans="1:12" ht="17.25" customHeight="1">
      <c r="A27" s="58"/>
      <c r="B27" s="32" t="s">
        <v>799</v>
      </c>
      <c r="C27" s="27">
        <v>1222</v>
      </c>
      <c r="D27" s="81">
        <v>750</v>
      </c>
      <c r="E27" s="27">
        <v>750</v>
      </c>
      <c r="F27" s="751">
        <f t="shared" si="0"/>
        <v>1</v>
      </c>
      <c r="G27" s="58"/>
      <c r="H27" s="32" t="s">
        <v>796</v>
      </c>
      <c r="I27" s="27">
        <v>13000</v>
      </c>
      <c r="J27" s="81">
        <v>11</v>
      </c>
      <c r="K27" s="27"/>
      <c r="L27" s="752"/>
    </row>
    <row r="28" spans="1:12" ht="12.75">
      <c r="A28" s="100"/>
      <c r="B28" s="43" t="s">
        <v>643</v>
      </c>
      <c r="C28" s="36">
        <v>132254</v>
      </c>
      <c r="D28" s="88">
        <v>86626</v>
      </c>
      <c r="E28" s="36">
        <v>83092</v>
      </c>
      <c r="F28" s="751">
        <f t="shared" si="0"/>
        <v>0.9592039341537183</v>
      </c>
      <c r="G28" s="58"/>
      <c r="H28" s="32" t="s">
        <v>724</v>
      </c>
      <c r="I28" s="27">
        <v>136000</v>
      </c>
      <c r="J28" s="81">
        <v>42237</v>
      </c>
      <c r="K28" s="27"/>
      <c r="L28" s="752"/>
    </row>
    <row r="29" spans="1:12" ht="15.75" customHeight="1">
      <c r="A29" s="58"/>
      <c r="B29" s="42" t="s">
        <v>747</v>
      </c>
      <c r="C29" s="27">
        <v>169500</v>
      </c>
      <c r="D29" s="81">
        <v>33980</v>
      </c>
      <c r="E29" s="27">
        <v>33980</v>
      </c>
      <c r="F29" s="751">
        <f t="shared" si="0"/>
        <v>1</v>
      </c>
      <c r="G29" s="58"/>
      <c r="H29" s="32" t="s">
        <v>532</v>
      </c>
      <c r="I29" s="92"/>
      <c r="J29" s="81">
        <v>1114</v>
      </c>
      <c r="K29" s="27"/>
      <c r="L29" s="752"/>
    </row>
    <row r="30" spans="1:12" ht="14.25" customHeight="1">
      <c r="A30" s="57"/>
      <c r="B30" s="43" t="s">
        <v>644</v>
      </c>
      <c r="C30" s="27">
        <v>16236</v>
      </c>
      <c r="D30" s="81">
        <v>7146</v>
      </c>
      <c r="E30" s="27">
        <v>7144</v>
      </c>
      <c r="F30" s="751">
        <f t="shared" si="0"/>
        <v>0.9997201231458158</v>
      </c>
      <c r="G30" s="59" t="s">
        <v>637</v>
      </c>
      <c r="H30" s="34"/>
      <c r="I30" s="74">
        <f>SUM(I31:I32)</f>
        <v>2702091</v>
      </c>
      <c r="J30" s="225">
        <f>SUM(J31:J32)</f>
        <v>78968</v>
      </c>
      <c r="K30" s="27"/>
      <c r="L30" s="752"/>
    </row>
    <row r="31" spans="1:12" ht="12.75">
      <c r="A31" s="58"/>
      <c r="B31" s="32" t="s">
        <v>797</v>
      </c>
      <c r="C31" s="27">
        <v>35300</v>
      </c>
      <c r="D31" s="81">
        <v>11859</v>
      </c>
      <c r="E31" s="27">
        <v>11863</v>
      </c>
      <c r="F31" s="751">
        <f t="shared" si="0"/>
        <v>1.0003372965680075</v>
      </c>
      <c r="G31" s="58"/>
      <c r="H31" s="32" t="s">
        <v>533</v>
      </c>
      <c r="I31" s="27">
        <f>45585+13000</f>
        <v>58585</v>
      </c>
      <c r="J31" s="81">
        <v>78968</v>
      </c>
      <c r="K31" s="27"/>
      <c r="L31" s="752"/>
    </row>
    <row r="32" spans="1:12" ht="12.75" customHeight="1">
      <c r="A32" s="105"/>
      <c r="B32" s="32" t="s">
        <v>645</v>
      </c>
      <c r="C32" s="27">
        <v>0</v>
      </c>
      <c r="D32" s="81"/>
      <c r="E32" s="27"/>
      <c r="F32" s="751"/>
      <c r="G32" s="58"/>
      <c r="H32" s="32" t="s">
        <v>530</v>
      </c>
      <c r="I32" s="27">
        <v>2643506</v>
      </c>
      <c r="J32" s="81"/>
      <c r="K32" s="27"/>
      <c r="L32" s="752"/>
    </row>
    <row r="33" spans="1:12" ht="12.75" customHeight="1">
      <c r="A33" s="106"/>
      <c r="B33" s="55" t="s">
        <v>555</v>
      </c>
      <c r="C33" s="36">
        <v>670</v>
      </c>
      <c r="D33" s="88">
        <v>4408</v>
      </c>
      <c r="E33" s="36">
        <v>11661</v>
      </c>
      <c r="F33" s="751">
        <f t="shared" si="0"/>
        <v>2.6454174228675136</v>
      </c>
      <c r="G33" s="58"/>
      <c r="H33" s="32"/>
      <c r="I33" s="27"/>
      <c r="J33" s="81"/>
      <c r="K33" s="27"/>
      <c r="L33" s="752"/>
    </row>
    <row r="34" spans="1:12" ht="12.75" customHeight="1">
      <c r="A34" s="106"/>
      <c r="B34" s="55" t="s">
        <v>827</v>
      </c>
      <c r="C34" s="36"/>
      <c r="D34" s="88"/>
      <c r="E34" s="36">
        <v>424</v>
      </c>
      <c r="F34" s="751"/>
      <c r="G34" s="58"/>
      <c r="H34" s="32"/>
      <c r="I34" s="27"/>
      <c r="J34" s="81"/>
      <c r="K34" s="27"/>
      <c r="L34" s="752"/>
    </row>
    <row r="35" spans="1:12" ht="12.75" customHeight="1">
      <c r="A35" s="58"/>
      <c r="B35" s="32" t="s">
        <v>825</v>
      </c>
      <c r="C35" s="27"/>
      <c r="D35" s="81">
        <v>130000</v>
      </c>
      <c r="E35" s="27">
        <v>130000</v>
      </c>
      <c r="F35" s="751">
        <f t="shared" si="0"/>
        <v>1</v>
      </c>
      <c r="G35" s="59" t="s">
        <v>726</v>
      </c>
      <c r="H35" s="32"/>
      <c r="I35" s="95">
        <v>27692</v>
      </c>
      <c r="J35" s="87">
        <v>35191</v>
      </c>
      <c r="K35" s="28">
        <v>5421</v>
      </c>
      <c r="L35" s="752">
        <f>K35/J35</f>
        <v>0.15404506834133727</v>
      </c>
    </row>
    <row r="36" spans="1:12" ht="14.25" customHeight="1">
      <c r="A36" s="104" t="s">
        <v>646</v>
      </c>
      <c r="B36" s="50"/>
      <c r="C36" s="28">
        <f>SUM(C37:C38)</f>
        <v>2703074</v>
      </c>
      <c r="D36" s="87">
        <f>SUM(D37:D38)</f>
        <v>122864</v>
      </c>
      <c r="E36" s="28">
        <f>SUM(E37:E38)</f>
        <v>98139</v>
      </c>
      <c r="F36" s="751">
        <f t="shared" si="0"/>
        <v>0.798761231931241</v>
      </c>
      <c r="G36" s="58"/>
      <c r="H36" s="32"/>
      <c r="I36" s="27"/>
      <c r="J36" s="81"/>
      <c r="K36" s="27"/>
      <c r="L36" s="752"/>
    </row>
    <row r="37" spans="1:12" ht="12.75" customHeight="1">
      <c r="A37" s="59"/>
      <c r="B37" s="51" t="s">
        <v>648</v>
      </c>
      <c r="C37" s="36">
        <v>0</v>
      </c>
      <c r="D37" s="88">
        <v>60</v>
      </c>
      <c r="E37" s="36">
        <v>60</v>
      </c>
      <c r="F37" s="751">
        <f t="shared" si="0"/>
        <v>1</v>
      </c>
      <c r="G37" s="59" t="s">
        <v>631</v>
      </c>
      <c r="H37" s="51"/>
      <c r="I37" s="74">
        <f>SUM(I38:I39)</f>
        <v>5500</v>
      </c>
      <c r="J37" s="225">
        <f>SUM(J38:J39)</f>
        <v>68157</v>
      </c>
      <c r="K37" s="225">
        <f>SUM(K38:K39)</f>
        <v>66657</v>
      </c>
      <c r="L37" s="752">
        <f>K37/J37</f>
        <v>0.9779919890840266</v>
      </c>
    </row>
    <row r="38" spans="1:12" ht="12.75" customHeight="1">
      <c r="A38" s="100"/>
      <c r="B38" s="48" t="s">
        <v>649</v>
      </c>
      <c r="C38" s="36">
        <f>SUM(C39:C41)</f>
        <v>2703074</v>
      </c>
      <c r="D38" s="88">
        <v>122804</v>
      </c>
      <c r="E38" s="36">
        <v>98079</v>
      </c>
      <c r="F38" s="751">
        <f t="shared" si="0"/>
        <v>0.7986629100029315</v>
      </c>
      <c r="G38" s="58"/>
      <c r="H38" s="51" t="s">
        <v>722</v>
      </c>
      <c r="I38" s="36">
        <v>3000</v>
      </c>
      <c r="J38" s="81">
        <v>3100</v>
      </c>
      <c r="K38" s="27">
        <v>1600</v>
      </c>
      <c r="L38" s="752">
        <f>K38/J38</f>
        <v>0.5161290322580645</v>
      </c>
    </row>
    <row r="39" spans="1:12" ht="12.75" customHeight="1">
      <c r="A39" s="100"/>
      <c r="B39" s="56" t="s">
        <v>653</v>
      </c>
      <c r="C39" s="38">
        <v>1103231</v>
      </c>
      <c r="D39" s="86">
        <v>116503</v>
      </c>
      <c r="E39" s="38">
        <v>91626</v>
      </c>
      <c r="F39" s="751">
        <f t="shared" si="0"/>
        <v>0.7864690179652026</v>
      </c>
      <c r="G39" s="58"/>
      <c r="H39" s="51" t="s">
        <v>725</v>
      </c>
      <c r="I39" s="36">
        <v>2500</v>
      </c>
      <c r="J39" s="81">
        <v>65057</v>
      </c>
      <c r="K39" s="27">
        <v>65057</v>
      </c>
      <c r="L39" s="752">
        <f>K39/J39</f>
        <v>1</v>
      </c>
    </row>
    <row r="40" spans="1:12" ht="12.75" customHeight="1">
      <c r="A40" s="100"/>
      <c r="B40" s="75" t="s">
        <v>531</v>
      </c>
      <c r="C40" s="38">
        <v>1588643</v>
      </c>
      <c r="D40" s="86"/>
      <c r="E40" s="38"/>
      <c r="F40" s="751"/>
      <c r="G40" s="58"/>
      <c r="H40" s="32"/>
      <c r="I40" s="27"/>
      <c r="J40" s="81"/>
      <c r="K40" s="27"/>
      <c r="L40" s="752"/>
    </row>
    <row r="41" spans="1:12" ht="12.75" customHeight="1">
      <c r="A41" s="100"/>
      <c r="B41" s="56" t="s">
        <v>654</v>
      </c>
      <c r="C41" s="38">
        <v>11200</v>
      </c>
      <c r="D41" s="86">
        <v>6301</v>
      </c>
      <c r="E41" s="38">
        <v>6453</v>
      </c>
      <c r="F41" s="751">
        <f t="shared" si="0"/>
        <v>1.0241231550547532</v>
      </c>
      <c r="G41" s="1350" t="s">
        <v>804</v>
      </c>
      <c r="H41" s="1351"/>
      <c r="I41" s="27"/>
      <c r="J41" s="87">
        <f>SUM(J42:J43)</f>
        <v>451507</v>
      </c>
      <c r="K41" s="87">
        <f>SUM(K42:K43)</f>
        <v>512866</v>
      </c>
      <c r="L41" s="752">
        <f>K41/J41</f>
        <v>1.1358982252766845</v>
      </c>
    </row>
    <row r="42" spans="1:12" ht="12.75" customHeight="1">
      <c r="A42" s="1350" t="s">
        <v>520</v>
      </c>
      <c r="B42" s="1351"/>
      <c r="C42" s="36"/>
      <c r="D42" s="87">
        <v>451303</v>
      </c>
      <c r="E42" s="28">
        <v>958269</v>
      </c>
      <c r="F42" s="751">
        <f t="shared" si="0"/>
        <v>2.1233384223016465</v>
      </c>
      <c r="G42" s="58"/>
      <c r="H42" s="42" t="s">
        <v>733</v>
      </c>
      <c r="I42" s="95"/>
      <c r="J42" s="81">
        <v>123538</v>
      </c>
      <c r="K42" s="27">
        <v>184897</v>
      </c>
      <c r="L42" s="752">
        <f>K42/J42</f>
        <v>1.4966811831177451</v>
      </c>
    </row>
    <row r="43" spans="1:12" ht="12.75" customHeight="1">
      <c r="A43" s="101" t="s">
        <v>624</v>
      </c>
      <c r="B43" s="43"/>
      <c r="C43" s="95">
        <v>86700</v>
      </c>
      <c r="D43" s="221">
        <v>90500</v>
      </c>
      <c r="E43" s="95">
        <v>20147</v>
      </c>
      <c r="F43" s="751">
        <f t="shared" si="0"/>
        <v>0.22261878453038675</v>
      </c>
      <c r="G43" s="58"/>
      <c r="H43" s="42" t="s">
        <v>734</v>
      </c>
      <c r="I43" s="93"/>
      <c r="J43" s="81">
        <v>327969</v>
      </c>
      <c r="K43" s="27">
        <v>327969</v>
      </c>
      <c r="L43" s="752">
        <f>K43/J43</f>
        <v>1</v>
      </c>
    </row>
    <row r="44" spans="1:12" ht="12.75" customHeight="1">
      <c r="A44" s="1350" t="s">
        <v>528</v>
      </c>
      <c r="B44" s="1351"/>
      <c r="C44" s="33"/>
      <c r="D44" s="287"/>
      <c r="E44" s="28">
        <v>31295</v>
      </c>
      <c r="F44" s="751"/>
      <c r="G44" s="1354" t="s">
        <v>1002</v>
      </c>
      <c r="H44" s="1355"/>
      <c r="I44" s="93"/>
      <c r="J44" s="81"/>
      <c r="K44" s="28">
        <v>461365</v>
      </c>
      <c r="L44" s="752"/>
    </row>
    <row r="45" spans="1:12" ht="25.5" customHeight="1">
      <c r="A45" s="107" t="s">
        <v>768</v>
      </c>
      <c r="B45" s="43"/>
      <c r="C45" s="28">
        <f>SUM(C6,C8,C16,C21,C26,C36,C43)</f>
        <v>7398252</v>
      </c>
      <c r="D45" s="87">
        <f>SUM(D6,D8,D16,D21,D26,D36,D43+D42)</f>
        <v>4976745</v>
      </c>
      <c r="E45" s="28">
        <f>SUM(E6+E8+E16+E21+E26+E36+E42+E43+E44)</f>
        <v>5555998</v>
      </c>
      <c r="F45" s="751">
        <f t="shared" si="0"/>
        <v>1.1163919389078605</v>
      </c>
      <c r="G45" s="57" t="s">
        <v>769</v>
      </c>
      <c r="H45" s="33"/>
      <c r="I45" s="93">
        <f>SUM(I6,I9,I11,I15,I20,I22,I24,I26,I30,I35,I37)</f>
        <v>8709528</v>
      </c>
      <c r="J45" s="224">
        <f>SUM(J6,J9,J15,J20,J22,J24,J26,J30,J35,J37,J41,J11)</f>
        <v>5643793</v>
      </c>
      <c r="K45" s="224">
        <f>SUM(K6+K9+K11+K15+K20+K22+K24+K35+K37+K41+K44)</f>
        <v>5118604</v>
      </c>
      <c r="L45" s="752">
        <f>K45/J45</f>
        <v>0.9069439648123169</v>
      </c>
    </row>
    <row r="46" spans="1:12" ht="12.75" customHeight="1">
      <c r="A46" s="108"/>
      <c r="B46" s="79"/>
      <c r="C46" s="27"/>
      <c r="D46" s="81"/>
      <c r="E46" s="27"/>
      <c r="F46" s="751"/>
      <c r="G46" s="57"/>
      <c r="H46" s="32"/>
      <c r="I46" s="36"/>
      <c r="J46" s="81"/>
      <c r="K46" s="27"/>
      <c r="L46" s="752"/>
    </row>
    <row r="47" spans="1:12" ht="12.75" customHeight="1">
      <c r="A47" s="104" t="s">
        <v>440</v>
      </c>
      <c r="B47" s="50"/>
      <c r="C47" s="95"/>
      <c r="D47" s="221"/>
      <c r="E47" s="95"/>
      <c r="F47" s="751"/>
      <c r="G47" s="57"/>
      <c r="H47" s="33"/>
      <c r="I47" s="74"/>
      <c r="J47" s="81"/>
      <c r="K47" s="27"/>
      <c r="L47" s="752"/>
    </row>
    <row r="48" spans="1:12" ht="12.75" customHeight="1">
      <c r="A48" s="103" t="s">
        <v>732</v>
      </c>
      <c r="B48" s="41"/>
      <c r="C48" s="27"/>
      <c r="D48" s="81"/>
      <c r="E48" s="27"/>
      <c r="F48" s="751"/>
      <c r="G48" s="57"/>
      <c r="H48" s="33"/>
      <c r="I48" s="74"/>
      <c r="J48" s="81"/>
      <c r="K48" s="27"/>
      <c r="L48" s="752"/>
    </row>
    <row r="49" spans="1:12" ht="12.75" customHeight="1">
      <c r="A49" s="58" t="s">
        <v>736</v>
      </c>
      <c r="B49" s="32"/>
      <c r="C49" s="27">
        <v>390428</v>
      </c>
      <c r="D49" s="81">
        <v>551113</v>
      </c>
      <c r="E49" s="27">
        <v>580167</v>
      </c>
      <c r="F49" s="751">
        <f t="shared" si="0"/>
        <v>1.0527187709235675</v>
      </c>
      <c r="G49" s="57" t="s">
        <v>752</v>
      </c>
      <c r="H49" s="33"/>
      <c r="I49" s="93">
        <v>134015</v>
      </c>
      <c r="J49" s="87">
        <v>134065</v>
      </c>
      <c r="K49" s="28">
        <v>134049</v>
      </c>
      <c r="L49" s="752">
        <f>K49/J49</f>
        <v>0.9998806549062023</v>
      </c>
    </row>
    <row r="50" spans="1:12" ht="12.75" customHeight="1">
      <c r="A50" s="1358" t="s">
        <v>737</v>
      </c>
      <c r="B50" s="1359"/>
      <c r="C50" s="27">
        <v>1054863</v>
      </c>
      <c r="D50" s="81">
        <v>250000</v>
      </c>
      <c r="E50" s="27"/>
      <c r="F50" s="751"/>
      <c r="G50" s="1350" t="s">
        <v>828</v>
      </c>
      <c r="H50" s="1351"/>
      <c r="I50" s="74"/>
      <c r="J50" s="81"/>
      <c r="K50" s="28">
        <v>-63998</v>
      </c>
      <c r="L50" s="752"/>
    </row>
    <row r="51" spans="1:12" ht="12.75" customHeight="1">
      <c r="A51" s="1352" t="s">
        <v>828</v>
      </c>
      <c r="B51" s="1353"/>
      <c r="C51" s="38"/>
      <c r="D51" s="86"/>
      <c r="E51" s="28">
        <v>-62000</v>
      </c>
      <c r="F51" s="751"/>
      <c r="G51" s="58"/>
      <c r="H51" s="32"/>
      <c r="I51" s="74"/>
      <c r="J51" s="81"/>
      <c r="K51" s="27"/>
      <c r="L51" s="752"/>
    </row>
    <row r="52" spans="1:12" ht="15" customHeight="1">
      <c r="A52" s="1348" t="s">
        <v>735</v>
      </c>
      <c r="B52" s="1349"/>
      <c r="C52" s="28">
        <f>SUM(C49:C50)</f>
        <v>1445291</v>
      </c>
      <c r="D52" s="87">
        <f>SUM(D49:D50)</f>
        <v>801113</v>
      </c>
      <c r="E52" s="28">
        <f>SUM(E49+E51)</f>
        <v>518167</v>
      </c>
      <c r="F52" s="751">
        <f t="shared" si="0"/>
        <v>0.6468088771496655</v>
      </c>
      <c r="G52" s="57" t="s">
        <v>744</v>
      </c>
      <c r="H52" s="74"/>
      <c r="I52" s="95">
        <f>SUM(I49)</f>
        <v>134015</v>
      </c>
      <c r="J52" s="221">
        <f>SUM(J49)</f>
        <v>134065</v>
      </c>
      <c r="K52" s="221">
        <f>SUM(K49+K50)</f>
        <v>70051</v>
      </c>
      <c r="L52" s="752">
        <f>K52/J52</f>
        <v>0.5225151978517883</v>
      </c>
    </row>
    <row r="53" spans="1:12" ht="15" customHeight="1">
      <c r="A53" s="1362"/>
      <c r="B53" s="1363"/>
      <c r="C53" s="36"/>
      <c r="D53" s="88"/>
      <c r="E53" s="36"/>
      <c r="F53" s="751"/>
      <c r="G53" s="57"/>
      <c r="H53" s="32"/>
      <c r="I53" s="27"/>
      <c r="J53" s="81"/>
      <c r="K53" s="27"/>
      <c r="L53" s="752"/>
    </row>
    <row r="54" spans="1:12" ht="15" customHeight="1" thickBot="1">
      <c r="A54" s="109" t="s">
        <v>626</v>
      </c>
      <c r="B54" s="110"/>
      <c r="C54" s="110">
        <f>SUM(C45,C52)</f>
        <v>8843543</v>
      </c>
      <c r="D54" s="223">
        <f>SUM(D45,D52)</f>
        <v>5777858</v>
      </c>
      <c r="E54" s="110">
        <f>SUM(E6+E8+E16+E21+E26+E36+E42+E43+E44+E52)</f>
        <v>6074165</v>
      </c>
      <c r="F54" s="751">
        <f t="shared" si="0"/>
        <v>1.05128319179876</v>
      </c>
      <c r="G54" s="111" t="s">
        <v>632</v>
      </c>
      <c r="H54" s="112"/>
      <c r="I54" s="113">
        <f>SUM(I45,I52)</f>
        <v>8843543</v>
      </c>
      <c r="J54" s="226">
        <f>SUM(J45,J52)</f>
        <v>5777858</v>
      </c>
      <c r="K54" s="153">
        <f>SUM(K45+K52)</f>
        <v>5188655</v>
      </c>
      <c r="L54" s="752">
        <f>K54/J54</f>
        <v>0.8980239735902128</v>
      </c>
    </row>
    <row r="55" spans="1:12" ht="27" customHeight="1">
      <c r="A55" s="258"/>
      <c r="B55" s="259"/>
      <c r="C55" s="259"/>
      <c r="D55" s="259"/>
      <c r="E55" s="259"/>
      <c r="F55" s="260"/>
      <c r="G55" s="244"/>
      <c r="H55" s="245"/>
      <c r="I55" s="245"/>
      <c r="J55" s="245"/>
      <c r="K55" s="245"/>
      <c r="L55" s="246"/>
    </row>
    <row r="56" spans="1:12" ht="15" customHeight="1">
      <c r="A56" s="261"/>
      <c r="B56" s="1"/>
      <c r="C56" s="1"/>
      <c r="D56" s="1"/>
      <c r="E56" s="1"/>
      <c r="F56" s="262"/>
      <c r="G56" s="1361" t="s">
        <v>537</v>
      </c>
      <c r="H56" s="1360"/>
      <c r="I56" s="289"/>
      <c r="J56" s="251"/>
      <c r="K56" s="250"/>
      <c r="L56" s="255"/>
    </row>
    <row r="57" spans="1:12" ht="15" customHeight="1">
      <c r="A57" s="261"/>
      <c r="B57" s="1"/>
      <c r="C57" s="1"/>
      <c r="D57" s="1"/>
      <c r="E57" s="1"/>
      <c r="F57" s="262"/>
      <c r="G57" s="254"/>
      <c r="H57" s="251" t="s">
        <v>539</v>
      </c>
      <c r="I57" s="289">
        <v>513258</v>
      </c>
      <c r="J57" s="251" t="s">
        <v>538</v>
      </c>
      <c r="K57" s="250"/>
      <c r="L57" s="255"/>
    </row>
    <row r="58" spans="1:12" ht="15" customHeight="1">
      <c r="A58" s="261"/>
      <c r="B58" s="1"/>
      <c r="C58" s="1"/>
      <c r="D58" s="1"/>
      <c r="E58" s="1"/>
      <c r="F58" s="262"/>
      <c r="G58" s="254"/>
      <c r="H58" s="252" t="s">
        <v>540</v>
      </c>
      <c r="I58" s="1318">
        <v>6074165</v>
      </c>
      <c r="J58" s="253" t="s">
        <v>538</v>
      </c>
      <c r="K58" s="250"/>
      <c r="L58" s="255"/>
    </row>
    <row r="59" spans="1:12" ht="15" customHeight="1">
      <c r="A59" s="261"/>
      <c r="B59" s="1"/>
      <c r="C59" s="1"/>
      <c r="D59" s="1"/>
      <c r="E59" s="1"/>
      <c r="F59" s="262"/>
      <c r="G59" s="254"/>
      <c r="H59" s="252" t="s">
        <v>541</v>
      </c>
      <c r="I59" s="1318">
        <v>5188655</v>
      </c>
      <c r="J59" s="253" t="s">
        <v>538</v>
      </c>
      <c r="K59" s="250"/>
      <c r="L59" s="255"/>
    </row>
    <row r="60" spans="1:12" ht="15" customHeight="1">
      <c r="A60" s="263"/>
      <c r="B60" s="5"/>
      <c r="C60" s="264"/>
      <c r="D60" s="264"/>
      <c r="E60" s="264"/>
      <c r="F60" s="265"/>
      <c r="G60" s="254"/>
      <c r="H60" s="252" t="s">
        <v>542</v>
      </c>
      <c r="I60" s="1318">
        <v>-580167</v>
      </c>
      <c r="J60" s="253" t="s">
        <v>538</v>
      </c>
      <c r="K60" s="250"/>
      <c r="L60" s="255"/>
    </row>
    <row r="61" spans="1:12" ht="15" customHeight="1" thickBot="1">
      <c r="A61" s="266"/>
      <c r="B61" s="115"/>
      <c r="C61" s="115"/>
      <c r="D61" s="115"/>
      <c r="E61" s="115"/>
      <c r="F61" s="257"/>
      <c r="G61" s="1364" t="s">
        <v>554</v>
      </c>
      <c r="H61" s="1365"/>
      <c r="I61" s="290">
        <v>818601</v>
      </c>
      <c r="J61" s="256" t="s">
        <v>538</v>
      </c>
      <c r="K61" s="115"/>
      <c r="L61" s="257"/>
    </row>
    <row r="62" spans="8:9" ht="12.75" customHeight="1">
      <c r="H62" s="1360"/>
      <c r="I62" s="1360"/>
    </row>
  </sheetData>
  <mergeCells count="16">
    <mergeCell ref="G41:H41"/>
    <mergeCell ref="A50:B50"/>
    <mergeCell ref="H62:I62"/>
    <mergeCell ref="G56:H56"/>
    <mergeCell ref="A53:B53"/>
    <mergeCell ref="G61:H61"/>
    <mergeCell ref="A4:F4"/>
    <mergeCell ref="G4:L4"/>
    <mergeCell ref="A2:L2"/>
    <mergeCell ref="A52:B52"/>
    <mergeCell ref="A44:B44"/>
    <mergeCell ref="A51:B51"/>
    <mergeCell ref="G44:H44"/>
    <mergeCell ref="G50:H50"/>
    <mergeCell ref="G24:H24"/>
    <mergeCell ref="A42:B42"/>
  </mergeCells>
  <printOptions horizontalCentered="1"/>
  <pageMargins left="0.2362204724409449" right="0.2362204724409449" top="0.61" bottom="0.1968503937007874" header="0.33" footer="0"/>
  <pageSetup horizontalDpi="600" verticalDpi="600" orientation="landscape" paperSize="9" scale="58" r:id="rId1"/>
  <headerFooter alignWithMargins="0">
    <oddHeader>&amp;L&amp;8 1. melléklet a 14/2013. (V.2.) önkormányzati rendelethez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77"/>
  <sheetViews>
    <sheetView view="pageBreakPreview" zoomScaleSheetLayoutView="100" workbookViewId="0" topLeftCell="A1">
      <selection activeCell="D2" sqref="A2:E3"/>
    </sheetView>
  </sheetViews>
  <sheetFormatPr defaultColWidth="9.00390625" defaultRowHeight="12.75"/>
  <cols>
    <col min="1" max="1" width="75.25390625" style="361" customWidth="1"/>
    <col min="2" max="2" width="15.625" style="393" customWidth="1"/>
    <col min="3" max="3" width="12.25390625" style="393" hidden="1" customWidth="1"/>
    <col min="4" max="5" width="15.625" style="364" customWidth="1"/>
    <col min="6" max="16384" width="9.125" style="361" customWidth="1"/>
  </cols>
  <sheetData>
    <row r="1" spans="1:3" ht="12.75">
      <c r="A1" s="698"/>
      <c r="B1" s="699"/>
      <c r="C1" s="699"/>
    </row>
    <row r="2" spans="1:3" ht="12.75">
      <c r="A2" s="698"/>
      <c r="B2" s="699"/>
      <c r="C2" s="699"/>
    </row>
    <row r="3" spans="1:5" ht="15.75">
      <c r="A3" s="1461" t="s">
        <v>429</v>
      </c>
      <c r="B3" s="1461"/>
      <c r="C3" s="1461"/>
      <c r="D3" s="1461"/>
      <c r="E3" s="1461"/>
    </row>
    <row r="4" spans="1:5" ht="15.75">
      <c r="A4" s="1463" t="s">
        <v>430</v>
      </c>
      <c r="B4" s="1463"/>
      <c r="C4" s="1463"/>
      <c r="D4" s="1463"/>
      <c r="E4" s="1463"/>
    </row>
    <row r="5" ht="13.5" thickBot="1"/>
    <row r="6" spans="1:5" ht="13.5" thickBot="1">
      <c r="A6" s="670" t="s">
        <v>873</v>
      </c>
      <c r="B6" s="671" t="s">
        <v>753</v>
      </c>
      <c r="C6" s="671" t="s">
        <v>431</v>
      </c>
      <c r="D6" s="368" t="s">
        <v>432</v>
      </c>
      <c r="E6" s="700" t="s">
        <v>535</v>
      </c>
    </row>
    <row r="7" spans="1:5" ht="12.75">
      <c r="A7" s="424"/>
      <c r="B7" s="425"/>
      <c r="C7" s="425"/>
      <c r="D7" s="701"/>
      <c r="E7" s="702"/>
    </row>
    <row r="8" spans="1:5" ht="12.75">
      <c r="A8" s="375" t="s">
        <v>552</v>
      </c>
      <c r="B8" s="381">
        <f>SUM(B10,B15,B18)</f>
        <v>32851</v>
      </c>
      <c r="C8" s="381">
        <f>SUM(C10,C15,C18)</f>
        <v>37192</v>
      </c>
      <c r="D8" s="382">
        <f>SUM(D10,D15,D18,D25)</f>
        <v>77434</v>
      </c>
      <c r="E8" s="681">
        <f>SUM(E10,E15,E18,E25)</f>
        <v>68029</v>
      </c>
    </row>
    <row r="9" spans="1:5" ht="12.75">
      <c r="A9" s="380"/>
      <c r="B9" s="376"/>
      <c r="C9" s="376"/>
      <c r="D9" s="378"/>
      <c r="E9" s="703"/>
    </row>
    <row r="10" spans="1:5" ht="12.75">
      <c r="A10" s="375" t="s">
        <v>267</v>
      </c>
      <c r="B10" s="381">
        <f>SUM(B11:B13)</f>
        <v>19851</v>
      </c>
      <c r="C10" s="381">
        <f>SUM(C11:C13)</f>
        <v>19851</v>
      </c>
      <c r="D10" s="382">
        <f>SUM(D11:D13)</f>
        <v>18802</v>
      </c>
      <c r="E10" s="681">
        <f>SUM(E11:E13)</f>
        <v>15042</v>
      </c>
    </row>
    <row r="11" spans="1:5" ht="12.75">
      <c r="A11" s="380" t="s">
        <v>433</v>
      </c>
      <c r="B11" s="376">
        <v>12500</v>
      </c>
      <c r="C11" s="376">
        <v>12500</v>
      </c>
      <c r="D11" s="378">
        <f>12500-833-216</f>
        <v>11451</v>
      </c>
      <c r="E11" s="703">
        <f>2489+863+1635+363+150+604+678+280+307+320+2</f>
        <v>7691</v>
      </c>
    </row>
    <row r="12" spans="1:5" ht="12.75">
      <c r="A12" s="384" t="s">
        <v>434</v>
      </c>
      <c r="B12" s="376">
        <v>3638</v>
      </c>
      <c r="C12" s="376">
        <v>3638</v>
      </c>
      <c r="D12" s="378">
        <v>3638</v>
      </c>
      <c r="E12" s="703">
        <v>3638</v>
      </c>
    </row>
    <row r="13" spans="1:5" ht="12.75">
      <c r="A13" s="384" t="s">
        <v>435</v>
      </c>
      <c r="B13" s="376">
        <v>3713</v>
      </c>
      <c r="C13" s="376">
        <v>3713</v>
      </c>
      <c r="D13" s="378">
        <v>3713</v>
      </c>
      <c r="E13" s="703">
        <v>3713</v>
      </c>
    </row>
    <row r="14" spans="1:5" ht="12.75">
      <c r="A14" s="384"/>
      <c r="B14" s="376"/>
      <c r="C14" s="376"/>
      <c r="D14" s="378"/>
      <c r="E14" s="703"/>
    </row>
    <row r="15" spans="1:5" ht="12.75">
      <c r="A15" s="679" t="s">
        <v>309</v>
      </c>
      <c r="B15" s="381">
        <f>SUM(B16)</f>
        <v>13000</v>
      </c>
      <c r="C15" s="381">
        <f>SUM(C16)</f>
        <v>13000</v>
      </c>
      <c r="D15" s="382">
        <f>SUM(D16)</f>
        <v>9075</v>
      </c>
      <c r="E15" s="681">
        <f>SUM(E16)</f>
        <v>8930</v>
      </c>
    </row>
    <row r="16" spans="1:5" ht="12.75">
      <c r="A16" s="380" t="s">
        <v>436</v>
      </c>
      <c r="B16" s="376">
        <v>13000</v>
      </c>
      <c r="C16" s="376">
        <v>13000</v>
      </c>
      <c r="D16" s="378">
        <v>9075</v>
      </c>
      <c r="E16" s="703">
        <v>8930</v>
      </c>
    </row>
    <row r="17" spans="1:5" ht="12.75">
      <c r="A17" s="380"/>
      <c r="B17" s="376"/>
      <c r="C17" s="376"/>
      <c r="D17" s="378"/>
      <c r="E17" s="703"/>
    </row>
    <row r="18" spans="1:5" s="680" customFormat="1" ht="12.75">
      <c r="A18" s="375" t="s">
        <v>230</v>
      </c>
      <c r="B18" s="381">
        <v>0</v>
      </c>
      <c r="C18" s="381">
        <f>SUM(C19:C20)</f>
        <v>4341</v>
      </c>
      <c r="D18" s="382">
        <f>SUM(D19:D23)</f>
        <v>41176</v>
      </c>
      <c r="E18" s="681">
        <f>SUM(E19:E23)</f>
        <v>35677</v>
      </c>
    </row>
    <row r="19" spans="1:5" ht="12.75">
      <c r="A19" s="380" t="s">
        <v>437</v>
      </c>
      <c r="B19" s="376"/>
      <c r="C19" s="376">
        <v>1860</v>
      </c>
      <c r="D19" s="378">
        <v>1860</v>
      </c>
      <c r="E19" s="703">
        <v>1684</v>
      </c>
    </row>
    <row r="20" spans="1:5" ht="25.5" customHeight="1">
      <c r="A20" s="704" t="s">
        <v>438</v>
      </c>
      <c r="B20" s="376"/>
      <c r="C20" s="376">
        <v>2481</v>
      </c>
      <c r="D20" s="378">
        <v>2481</v>
      </c>
      <c r="E20" s="703">
        <v>741</v>
      </c>
    </row>
    <row r="21" spans="1:5" ht="25.5" customHeight="1">
      <c r="A21" s="704" t="s">
        <v>439</v>
      </c>
      <c r="B21" s="376"/>
      <c r="C21" s="376"/>
      <c r="D21" s="378">
        <v>3334</v>
      </c>
      <c r="E21" s="703">
        <v>3334</v>
      </c>
    </row>
    <row r="22" spans="1:5" ht="25.5">
      <c r="A22" s="384" t="s">
        <v>494</v>
      </c>
      <c r="B22" s="376"/>
      <c r="C22" s="376"/>
      <c r="D22" s="378">
        <f>30000+3086</f>
        <v>33086</v>
      </c>
      <c r="E22" s="703">
        <f>419+14570+14515</f>
        <v>29504</v>
      </c>
    </row>
    <row r="23" spans="1:5" ht="12.75">
      <c r="A23" s="384" t="s">
        <v>495</v>
      </c>
      <c r="B23" s="376"/>
      <c r="C23" s="376"/>
      <c r="D23" s="378">
        <v>415</v>
      </c>
      <c r="E23" s="703">
        <v>414</v>
      </c>
    </row>
    <row r="24" spans="1:5" ht="12.75">
      <c r="A24" s="384"/>
      <c r="B24" s="376"/>
      <c r="C24" s="376"/>
      <c r="D24" s="378"/>
      <c r="E24" s="703"/>
    </row>
    <row r="25" spans="1:5" ht="12.75">
      <c r="A25" s="679" t="s">
        <v>267</v>
      </c>
      <c r="B25" s="376"/>
      <c r="C25" s="376"/>
      <c r="D25" s="382">
        <f>SUM(D26:D33)</f>
        <v>8381</v>
      </c>
      <c r="E25" s="681">
        <f>SUM(E26:E33)</f>
        <v>8380</v>
      </c>
    </row>
    <row r="26" spans="1:5" ht="12.75">
      <c r="A26" s="384" t="s">
        <v>496</v>
      </c>
      <c r="B26" s="376"/>
      <c r="C26" s="376"/>
      <c r="D26" s="378">
        <v>3430</v>
      </c>
      <c r="E26" s="703">
        <v>3430</v>
      </c>
    </row>
    <row r="27" spans="1:5" ht="12.75">
      <c r="A27" s="384" t="s">
        <v>497</v>
      </c>
      <c r="B27" s="376"/>
      <c r="C27" s="376"/>
      <c r="D27" s="378">
        <v>626</v>
      </c>
      <c r="E27" s="703">
        <v>626</v>
      </c>
    </row>
    <row r="28" spans="1:5" ht="12.75">
      <c r="A28" s="384" t="s">
        <v>498</v>
      </c>
      <c r="B28" s="376"/>
      <c r="C28" s="376"/>
      <c r="D28" s="378">
        <v>940</v>
      </c>
      <c r="E28" s="703">
        <v>940</v>
      </c>
    </row>
    <row r="29" spans="1:5" ht="12.75">
      <c r="A29" s="384" t="s">
        <v>499</v>
      </c>
      <c r="B29" s="376"/>
      <c r="C29" s="376"/>
      <c r="D29" s="378">
        <v>500</v>
      </c>
      <c r="E29" s="703">
        <v>500</v>
      </c>
    </row>
    <row r="30" spans="1:5" ht="12.75">
      <c r="A30" s="384" t="s">
        <v>500</v>
      </c>
      <c r="B30" s="376"/>
      <c r="C30" s="376"/>
      <c r="D30" s="378">
        <v>620</v>
      </c>
      <c r="E30" s="703">
        <f>359+260</f>
        <v>619</v>
      </c>
    </row>
    <row r="31" spans="1:5" ht="12.75">
      <c r="A31" s="384" t="s">
        <v>501</v>
      </c>
      <c r="B31" s="376"/>
      <c r="C31" s="376"/>
      <c r="D31" s="378">
        <v>1016</v>
      </c>
      <c r="E31" s="703">
        <v>1016</v>
      </c>
    </row>
    <row r="32" spans="1:5" ht="12.75">
      <c r="A32" s="384" t="s">
        <v>502</v>
      </c>
      <c r="B32" s="376"/>
      <c r="C32" s="376"/>
      <c r="D32" s="378">
        <v>373</v>
      </c>
      <c r="E32" s="703">
        <v>373</v>
      </c>
    </row>
    <row r="33" spans="1:5" ht="12.75">
      <c r="A33" s="384" t="s">
        <v>503</v>
      </c>
      <c r="B33" s="376"/>
      <c r="C33" s="376"/>
      <c r="D33" s="378">
        <v>876</v>
      </c>
      <c r="E33" s="703">
        <v>876</v>
      </c>
    </row>
    <row r="34" spans="1:5" ht="12.75">
      <c r="A34" s="380"/>
      <c r="B34" s="376"/>
      <c r="C34" s="376"/>
      <c r="D34" s="378"/>
      <c r="E34" s="703"/>
    </row>
    <row r="35" spans="1:5" ht="12.75">
      <c r="A35" s="375" t="s">
        <v>17</v>
      </c>
      <c r="B35" s="381">
        <v>0</v>
      </c>
      <c r="C35" s="381">
        <v>0</v>
      </c>
      <c r="D35" s="382">
        <v>0</v>
      </c>
      <c r="E35" s="681">
        <v>0</v>
      </c>
    </row>
    <row r="36" spans="1:5" ht="12.75">
      <c r="A36" s="380"/>
      <c r="B36" s="376"/>
      <c r="C36" s="376"/>
      <c r="D36" s="378"/>
      <c r="E36" s="703"/>
    </row>
    <row r="37" spans="1:5" s="383" customFormat="1" ht="12.75">
      <c r="A37" s="375" t="s">
        <v>741</v>
      </c>
      <c r="B37" s="381">
        <v>0</v>
      </c>
      <c r="C37" s="381">
        <v>0</v>
      </c>
      <c r="D37" s="382">
        <f>SUM(D38:D42)</f>
        <v>16833</v>
      </c>
      <c r="E37" s="681">
        <f>SUM(E38:E42)</f>
        <v>15763</v>
      </c>
    </row>
    <row r="38" spans="1:5" s="683" customFormat="1" ht="12.75">
      <c r="A38" s="380" t="s">
        <v>1195</v>
      </c>
      <c r="B38" s="376"/>
      <c r="C38" s="376"/>
      <c r="D38" s="378">
        <v>2200</v>
      </c>
      <c r="E38" s="703">
        <v>1611</v>
      </c>
    </row>
    <row r="39" spans="1:5" s="683" customFormat="1" ht="12.75">
      <c r="A39" s="380" t="s">
        <v>504</v>
      </c>
      <c r="B39" s="376"/>
      <c r="C39" s="376"/>
      <c r="D39" s="378">
        <v>9426</v>
      </c>
      <c r="E39" s="703">
        <v>9044</v>
      </c>
    </row>
    <row r="40" spans="1:5" s="683" customFormat="1" ht="12.75">
      <c r="A40" s="380" t="s">
        <v>505</v>
      </c>
      <c r="B40" s="376"/>
      <c r="C40" s="376"/>
      <c r="D40" s="378">
        <v>1000</v>
      </c>
      <c r="E40" s="703">
        <v>901</v>
      </c>
    </row>
    <row r="41" spans="1:5" s="683" customFormat="1" ht="12.75">
      <c r="A41" s="380" t="s">
        <v>730</v>
      </c>
      <c r="B41" s="376"/>
      <c r="C41" s="376"/>
      <c r="D41" s="378">
        <f>741+1852+370+741</f>
        <v>3704</v>
      </c>
      <c r="E41" s="703">
        <v>3704</v>
      </c>
    </row>
    <row r="42" spans="1:5" s="683" customFormat="1" ht="12.75">
      <c r="A42" s="380" t="s">
        <v>506</v>
      </c>
      <c r="B42" s="376"/>
      <c r="C42" s="376"/>
      <c r="D42" s="378">
        <v>503</v>
      </c>
      <c r="E42" s="703">
        <v>503</v>
      </c>
    </row>
    <row r="43" spans="1:5" ht="12.75">
      <c r="A43" s="380"/>
      <c r="B43" s="376"/>
      <c r="C43" s="376"/>
      <c r="D43" s="378"/>
      <c r="E43" s="703"/>
    </row>
    <row r="44" spans="1:5" s="686" customFormat="1" ht="13.5" thickBot="1">
      <c r="A44" s="386" t="s">
        <v>297</v>
      </c>
      <c r="B44" s="387">
        <f>SUM(B8,B35,B37)</f>
        <v>32851</v>
      </c>
      <c r="C44" s="387">
        <f>SUM(C8,C35,C37)</f>
        <v>37192</v>
      </c>
      <c r="D44" s="388">
        <f>SUM(D8,D35,D37)</f>
        <v>94267</v>
      </c>
      <c r="E44" s="705">
        <f>SUM(E8,E35,E37)</f>
        <v>83792</v>
      </c>
    </row>
    <row r="45" ht="12.75">
      <c r="A45" s="706"/>
    </row>
    <row r="46" ht="12.75">
      <c r="A46" s="392"/>
    </row>
    <row r="47" spans="1:5" ht="15.75">
      <c r="A47" s="1461" t="s">
        <v>507</v>
      </c>
      <c r="B47" s="1461"/>
      <c r="C47" s="1461"/>
      <c r="D47" s="1461"/>
      <c r="E47" s="1461"/>
    </row>
    <row r="48" spans="1:5" ht="15.75">
      <c r="A48" s="1462" t="s">
        <v>214</v>
      </c>
      <c r="B48" s="1462"/>
      <c r="C48" s="1462"/>
      <c r="D48" s="1462"/>
      <c r="E48" s="1462"/>
    </row>
    <row r="49" ht="13.5" thickBot="1">
      <c r="A49" s="392"/>
    </row>
    <row r="50" spans="1:5" ht="13.5" thickBot="1">
      <c r="A50" s="670" t="s">
        <v>873</v>
      </c>
      <c r="B50" s="671" t="s">
        <v>753</v>
      </c>
      <c r="C50" s="671" t="s">
        <v>1027</v>
      </c>
      <c r="D50" s="368" t="s">
        <v>432</v>
      </c>
      <c r="E50" s="707" t="s">
        <v>535</v>
      </c>
    </row>
    <row r="51" spans="1:5" ht="12.75">
      <c r="A51" s="424"/>
      <c r="B51" s="425"/>
      <c r="C51" s="425"/>
      <c r="D51" s="373"/>
      <c r="E51" s="702"/>
    </row>
    <row r="52" spans="1:5" ht="12.75">
      <c r="A52" s="375" t="s">
        <v>552</v>
      </c>
      <c r="B52" s="381">
        <f>SUM(B54,B62)</f>
        <v>39367</v>
      </c>
      <c r="C52" s="381">
        <f>SUM(C54,C62)</f>
        <v>35026</v>
      </c>
      <c r="D52" s="382">
        <v>0</v>
      </c>
      <c r="E52" s="681">
        <v>0</v>
      </c>
    </row>
    <row r="53" spans="1:5" ht="12.75">
      <c r="A53" s="708"/>
      <c r="B53" s="397"/>
      <c r="C53" s="397"/>
      <c r="D53" s="378"/>
      <c r="E53" s="703"/>
    </row>
    <row r="54" spans="1:5" ht="12.75">
      <c r="A54" s="375" t="s">
        <v>230</v>
      </c>
      <c r="B54" s="381">
        <f>SUM(B55:B59)</f>
        <v>10413</v>
      </c>
      <c r="C54" s="381">
        <f>SUM(C55:C59)</f>
        <v>10413</v>
      </c>
      <c r="D54" s="381">
        <f>SUM(D55:D59)</f>
        <v>0</v>
      </c>
      <c r="E54" s="681">
        <f>SUM(E55:E59)</f>
        <v>0</v>
      </c>
    </row>
    <row r="55" spans="1:5" ht="12.75">
      <c r="A55" s="380" t="s">
        <v>508</v>
      </c>
      <c r="B55" s="376">
        <v>5000</v>
      </c>
      <c r="C55" s="376">
        <v>5000</v>
      </c>
      <c r="D55" s="378">
        <v>0</v>
      </c>
      <c r="E55" s="703">
        <v>0</v>
      </c>
    </row>
    <row r="56" spans="1:5" ht="12.75">
      <c r="A56" s="384" t="s">
        <v>509</v>
      </c>
      <c r="B56" s="376">
        <v>500</v>
      </c>
      <c r="C56" s="376">
        <v>500</v>
      </c>
      <c r="D56" s="378">
        <v>0</v>
      </c>
      <c r="E56" s="703">
        <v>0</v>
      </c>
    </row>
    <row r="57" spans="1:5" ht="12.75">
      <c r="A57" s="384" t="s">
        <v>434</v>
      </c>
      <c r="B57" s="376">
        <f>5000-3638</f>
        <v>1362</v>
      </c>
      <c r="C57" s="376">
        <v>1362</v>
      </c>
      <c r="D57" s="378">
        <v>0</v>
      </c>
      <c r="E57" s="703">
        <v>0</v>
      </c>
    </row>
    <row r="58" spans="1:5" ht="12.75">
      <c r="A58" s="384" t="s">
        <v>435</v>
      </c>
      <c r="B58" s="376">
        <f>5000-3713</f>
        <v>1287</v>
      </c>
      <c r="C58" s="376">
        <v>1287</v>
      </c>
      <c r="D58" s="378">
        <v>0</v>
      </c>
      <c r="E58" s="703">
        <v>0</v>
      </c>
    </row>
    <row r="59" spans="1:5" ht="12.75">
      <c r="A59" s="380" t="s">
        <v>510</v>
      </c>
      <c r="B59" s="376">
        <v>2264</v>
      </c>
      <c r="C59" s="376">
        <v>2264</v>
      </c>
      <c r="D59" s="378">
        <v>0</v>
      </c>
      <c r="E59" s="703">
        <v>0</v>
      </c>
    </row>
    <row r="60" spans="1:5" ht="12.75">
      <c r="A60" s="384"/>
      <c r="B60" s="376"/>
      <c r="C60" s="376"/>
      <c r="D60" s="378"/>
      <c r="E60" s="703"/>
    </row>
    <row r="61" spans="1:5" ht="12.75">
      <c r="A61" s="380"/>
      <c r="B61" s="376"/>
      <c r="C61" s="376"/>
      <c r="D61" s="378"/>
      <c r="E61" s="703"/>
    </row>
    <row r="62" spans="1:5" ht="12.75">
      <c r="A62" s="375" t="s">
        <v>267</v>
      </c>
      <c r="B62" s="381">
        <f>SUM(B63:B71)</f>
        <v>28954</v>
      </c>
      <c r="C62" s="381">
        <f>SUM(C63:C71)</f>
        <v>24613</v>
      </c>
      <c r="D62" s="381">
        <f>SUM(D63:D71)</f>
        <v>0</v>
      </c>
      <c r="E62" s="681">
        <f>SUM(E63:E71)</f>
        <v>0</v>
      </c>
    </row>
    <row r="63" spans="1:5" ht="12.75">
      <c r="A63" s="380" t="s">
        <v>511</v>
      </c>
      <c r="B63" s="376">
        <v>3000</v>
      </c>
      <c r="C63" s="376">
        <f>3000-1860</f>
        <v>1140</v>
      </c>
      <c r="D63" s="378">
        <v>0</v>
      </c>
      <c r="E63" s="703">
        <v>0</v>
      </c>
    </row>
    <row r="64" spans="1:5" ht="12.75">
      <c r="A64" s="380" t="s">
        <v>512</v>
      </c>
      <c r="B64" s="376">
        <v>8000</v>
      </c>
      <c r="C64" s="376">
        <f>8000-2481</f>
        <v>5519</v>
      </c>
      <c r="D64" s="378">
        <v>0</v>
      </c>
      <c r="E64" s="703">
        <v>0</v>
      </c>
    </row>
    <row r="65" spans="1:5" ht="12.75">
      <c r="A65" s="380" t="s">
        <v>513</v>
      </c>
      <c r="B65" s="376">
        <v>6350</v>
      </c>
      <c r="C65" s="376">
        <v>6350</v>
      </c>
      <c r="D65" s="378">
        <v>0</v>
      </c>
      <c r="E65" s="703">
        <v>0</v>
      </c>
    </row>
    <row r="66" spans="1:5" ht="12.75">
      <c r="A66" s="380" t="s">
        <v>514</v>
      </c>
      <c r="B66" s="376">
        <v>254</v>
      </c>
      <c r="C66" s="376">
        <v>254</v>
      </c>
      <c r="D66" s="378">
        <v>0</v>
      </c>
      <c r="E66" s="703">
        <v>0</v>
      </c>
    </row>
    <row r="67" spans="1:5" ht="12.75">
      <c r="A67" s="380" t="s">
        <v>515</v>
      </c>
      <c r="B67" s="376">
        <v>1000</v>
      </c>
      <c r="C67" s="376">
        <v>1000</v>
      </c>
      <c r="D67" s="378">
        <v>0</v>
      </c>
      <c r="E67" s="703">
        <v>0</v>
      </c>
    </row>
    <row r="68" spans="1:5" ht="12.75">
      <c r="A68" s="380" t="s">
        <v>516</v>
      </c>
      <c r="B68" s="376">
        <v>2000</v>
      </c>
      <c r="C68" s="376">
        <v>2000</v>
      </c>
      <c r="D68" s="378">
        <v>0</v>
      </c>
      <c r="E68" s="703">
        <v>0</v>
      </c>
    </row>
    <row r="69" spans="1:5" ht="12.75">
      <c r="A69" s="380" t="s">
        <v>517</v>
      </c>
      <c r="B69" s="376">
        <v>6350</v>
      </c>
      <c r="C69" s="376">
        <v>6350</v>
      </c>
      <c r="D69" s="378">
        <v>0</v>
      </c>
      <c r="E69" s="703">
        <v>0</v>
      </c>
    </row>
    <row r="70" spans="1:5" ht="12.75">
      <c r="A70" s="380" t="s">
        <v>518</v>
      </c>
      <c r="B70" s="376">
        <v>1000</v>
      </c>
      <c r="C70" s="376">
        <v>1000</v>
      </c>
      <c r="D70" s="378">
        <v>0</v>
      </c>
      <c r="E70" s="703">
        <v>0</v>
      </c>
    </row>
    <row r="71" spans="1:5" ht="12.75">
      <c r="A71" s="380" t="s">
        <v>519</v>
      </c>
      <c r="B71" s="376">
        <v>1000</v>
      </c>
      <c r="C71" s="376">
        <v>1000</v>
      </c>
      <c r="D71" s="378">
        <v>0</v>
      </c>
      <c r="E71" s="703">
        <v>0</v>
      </c>
    </row>
    <row r="72" spans="1:5" ht="12.75">
      <c r="A72" s="708"/>
      <c r="B72" s="397"/>
      <c r="C72" s="397"/>
      <c r="D72" s="378"/>
      <c r="E72" s="703"/>
    </row>
    <row r="73" spans="1:5" ht="12.75">
      <c r="A73" s="375" t="s">
        <v>17</v>
      </c>
      <c r="B73" s="381">
        <v>0</v>
      </c>
      <c r="C73" s="381">
        <v>0</v>
      </c>
      <c r="D73" s="381">
        <v>0</v>
      </c>
      <c r="E73" s="681">
        <v>0</v>
      </c>
    </row>
    <row r="74" spans="1:5" ht="12.75">
      <c r="A74" s="380"/>
      <c r="B74" s="376"/>
      <c r="C74" s="376"/>
      <c r="D74" s="378"/>
      <c r="E74" s="703"/>
    </row>
    <row r="75" spans="1:5" s="383" customFormat="1" ht="12.75">
      <c r="A75" s="375" t="s">
        <v>741</v>
      </c>
      <c r="B75" s="381">
        <v>0</v>
      </c>
      <c r="C75" s="381">
        <v>0</v>
      </c>
      <c r="D75" s="381">
        <v>0</v>
      </c>
      <c r="E75" s="681">
        <v>0</v>
      </c>
    </row>
    <row r="76" spans="1:5" ht="12.75">
      <c r="A76" s="380"/>
      <c r="B76" s="376"/>
      <c r="C76" s="376"/>
      <c r="D76" s="378"/>
      <c r="E76" s="703"/>
    </row>
    <row r="77" spans="1:5" s="686" customFormat="1" ht="13.5" thickBot="1">
      <c r="A77" s="386" t="s">
        <v>297</v>
      </c>
      <c r="B77" s="387">
        <f>SUM(B52,B73,B75)</f>
        <v>39367</v>
      </c>
      <c r="C77" s="387">
        <f>SUM(C52,C73,C75)</f>
        <v>35026</v>
      </c>
      <c r="D77" s="387">
        <f>SUM(D52,D73,D75)</f>
        <v>0</v>
      </c>
      <c r="E77" s="705">
        <f>SUM(E52,E73,E75)</f>
        <v>0</v>
      </c>
    </row>
  </sheetData>
  <mergeCells count="4">
    <mergeCell ref="A3:E3"/>
    <mergeCell ref="A47:E47"/>
    <mergeCell ref="A48:E48"/>
    <mergeCell ref="A4:E4"/>
  </mergeCells>
  <printOptions horizontalCentered="1"/>
  <pageMargins left="0.2362204724409449" right="0.07874015748031496" top="0.5905511811023623" bottom="0.6299212598425197" header="0.34" footer="0.56"/>
  <pageSetup horizontalDpi="600" verticalDpi="600" orientation="portrait" paperSize="9" scale="75" r:id="rId1"/>
  <headerFooter alignWithMargins="0">
    <oddHeader>&amp;L 8. melléklet a 14/2013.(V.2.) önkormányzati rendelethez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43"/>
  <sheetViews>
    <sheetView view="pageBreakPreview" zoomScaleSheetLayoutView="100" workbookViewId="0" topLeftCell="A1">
      <selection activeCell="I5" sqref="I5"/>
    </sheetView>
  </sheetViews>
  <sheetFormatPr defaultColWidth="9.00390625" defaultRowHeight="12.75"/>
  <cols>
    <col min="1" max="1" width="60.875" style="0" customWidth="1"/>
    <col min="2" max="2" width="10.75390625" style="0" customWidth="1"/>
    <col min="3" max="3" width="10.75390625" style="0" hidden="1" customWidth="1"/>
    <col min="4" max="5" width="12.375" style="0" customWidth="1"/>
    <col min="6" max="6" width="10.25390625" style="0" customWidth="1"/>
    <col min="7" max="7" width="10.25390625" style="0" hidden="1" customWidth="1"/>
    <col min="8" max="8" width="10.875" style="643" customWidth="1"/>
    <col min="9" max="9" width="11.625" style="0" customWidth="1"/>
  </cols>
  <sheetData>
    <row r="1" spans="1:9" ht="12.75" customHeight="1">
      <c r="A1" s="1464" t="s">
        <v>179</v>
      </c>
      <c r="B1" s="1464"/>
      <c r="C1" s="1464"/>
      <c r="D1" s="1464"/>
      <c r="E1" s="1464"/>
      <c r="F1" s="1464"/>
      <c r="G1" s="1464"/>
      <c r="H1" s="1464"/>
      <c r="I1" s="1464"/>
    </row>
    <row r="2" spans="1:9" ht="12.75">
      <c r="A2" s="1464" t="s">
        <v>149</v>
      </c>
      <c r="B2" s="1464"/>
      <c r="C2" s="1464"/>
      <c r="D2" s="1464"/>
      <c r="E2" s="1464"/>
      <c r="F2" s="1464"/>
      <c r="G2" s="1464"/>
      <c r="H2" s="1464"/>
      <c r="I2" s="1464"/>
    </row>
    <row r="3" spans="1:5" ht="12" customHeight="1" thickBot="1">
      <c r="A3" s="4"/>
      <c r="B3" s="2"/>
      <c r="C3" s="2"/>
      <c r="D3" s="2"/>
      <c r="E3" s="2"/>
    </row>
    <row r="4" spans="1:9" ht="69" customHeight="1" thickBot="1">
      <c r="A4" s="623" t="s">
        <v>873</v>
      </c>
      <c r="B4" s="624" t="s">
        <v>754</v>
      </c>
      <c r="C4" s="624" t="s">
        <v>1027</v>
      </c>
      <c r="D4" s="644" t="s">
        <v>550</v>
      </c>
      <c r="E4" s="645" t="s">
        <v>535</v>
      </c>
      <c r="F4" s="646" t="s">
        <v>180</v>
      </c>
      <c r="G4" s="647" t="s">
        <v>181</v>
      </c>
      <c r="H4" s="648" t="s">
        <v>182</v>
      </c>
      <c r="I4" s="649" t="s">
        <v>183</v>
      </c>
    </row>
    <row r="5" spans="1:9" ht="15" customHeight="1">
      <c r="A5" s="650" t="s">
        <v>150</v>
      </c>
      <c r="B5" s="651">
        <v>50000</v>
      </c>
      <c r="C5" s="651">
        <v>0</v>
      </c>
      <c r="D5" s="652">
        <v>0</v>
      </c>
      <c r="E5" s="651"/>
      <c r="F5" s="653">
        <v>40000</v>
      </c>
      <c r="G5" s="654">
        <v>40000</v>
      </c>
      <c r="H5" s="629">
        <v>26591</v>
      </c>
      <c r="I5" s="493">
        <v>26591</v>
      </c>
    </row>
    <row r="6" spans="1:9" ht="15" customHeight="1">
      <c r="A6" s="630" t="s">
        <v>151</v>
      </c>
      <c r="B6" s="631">
        <v>20000</v>
      </c>
      <c r="C6" s="631">
        <v>0</v>
      </c>
      <c r="D6" s="655">
        <v>0</v>
      </c>
      <c r="E6" s="631"/>
      <c r="F6" s="656">
        <v>18000</v>
      </c>
      <c r="G6" s="657">
        <v>18000</v>
      </c>
      <c r="H6" s="632">
        <v>16700</v>
      </c>
      <c r="I6" s="462">
        <v>16600</v>
      </c>
    </row>
    <row r="7" spans="1:9" ht="15" customHeight="1">
      <c r="A7" s="630" t="s">
        <v>152</v>
      </c>
      <c r="B7" s="631">
        <v>4000</v>
      </c>
      <c r="C7" s="631">
        <v>0</v>
      </c>
      <c r="D7" s="655">
        <v>0</v>
      </c>
      <c r="E7" s="631"/>
      <c r="F7" s="656">
        <v>3600</v>
      </c>
      <c r="G7" s="657">
        <v>3600</v>
      </c>
      <c r="H7" s="632">
        <v>2700</v>
      </c>
      <c r="I7" s="462">
        <v>2700</v>
      </c>
    </row>
    <row r="8" spans="1:9" ht="15" customHeight="1">
      <c r="A8" s="630" t="s">
        <v>60</v>
      </c>
      <c r="B8" s="631">
        <v>1300</v>
      </c>
      <c r="C8" s="631">
        <v>0</v>
      </c>
      <c r="D8" s="655">
        <v>0</v>
      </c>
      <c r="E8" s="631"/>
      <c r="F8" s="656">
        <v>1170</v>
      </c>
      <c r="G8" s="657">
        <v>1170</v>
      </c>
      <c r="H8" s="632">
        <v>627</v>
      </c>
      <c r="I8" s="462">
        <v>627</v>
      </c>
    </row>
    <row r="9" spans="1:9" ht="15" customHeight="1">
      <c r="A9" s="630" t="s">
        <v>61</v>
      </c>
      <c r="B9" s="631">
        <v>16800</v>
      </c>
      <c r="C9" s="631">
        <v>0</v>
      </c>
      <c r="D9" s="655">
        <v>0</v>
      </c>
      <c r="E9" s="631"/>
      <c r="F9" s="656">
        <v>15120</v>
      </c>
      <c r="G9" s="657">
        <v>15120</v>
      </c>
      <c r="H9" s="632">
        <v>17921</v>
      </c>
      <c r="I9" s="462">
        <v>17921</v>
      </c>
    </row>
    <row r="10" spans="1:9" ht="15" customHeight="1">
      <c r="A10" s="630" t="s">
        <v>184</v>
      </c>
      <c r="B10" s="631">
        <v>1500</v>
      </c>
      <c r="C10" s="631">
        <v>1500</v>
      </c>
      <c r="D10" s="655">
        <v>5500</v>
      </c>
      <c r="E10" s="631">
        <v>875</v>
      </c>
      <c r="F10" s="656"/>
      <c r="G10" s="657">
        <v>0</v>
      </c>
      <c r="H10" s="632">
        <v>0</v>
      </c>
      <c r="I10" s="462"/>
    </row>
    <row r="11" spans="1:9" ht="15" customHeight="1">
      <c r="A11" s="630" t="s">
        <v>153</v>
      </c>
      <c r="B11" s="631">
        <v>9500</v>
      </c>
      <c r="C11" s="631">
        <v>0</v>
      </c>
      <c r="D11" s="655">
        <v>0</v>
      </c>
      <c r="E11" s="631"/>
      <c r="F11" s="656">
        <v>8550</v>
      </c>
      <c r="G11" s="657">
        <v>8550</v>
      </c>
      <c r="H11" s="632">
        <v>4082</v>
      </c>
      <c r="I11" s="462">
        <v>4082</v>
      </c>
    </row>
    <row r="12" spans="1:9" ht="15" customHeight="1">
      <c r="A12" s="630" t="s">
        <v>155</v>
      </c>
      <c r="B12" s="631">
        <v>29000</v>
      </c>
      <c r="C12" s="631">
        <v>0</v>
      </c>
      <c r="D12" s="655">
        <v>0</v>
      </c>
      <c r="E12" s="631"/>
      <c r="F12" s="656">
        <v>21750</v>
      </c>
      <c r="G12" s="657">
        <v>21750</v>
      </c>
      <c r="H12" s="632">
        <v>16966</v>
      </c>
      <c r="I12" s="462">
        <v>16966</v>
      </c>
    </row>
    <row r="13" spans="1:9" ht="15" customHeight="1">
      <c r="A13" s="630" t="s">
        <v>185</v>
      </c>
      <c r="B13" s="631">
        <v>1700</v>
      </c>
      <c r="C13" s="631">
        <v>1700</v>
      </c>
      <c r="D13" s="655">
        <v>1810</v>
      </c>
      <c r="E13" s="631">
        <v>1805</v>
      </c>
      <c r="F13" s="656"/>
      <c r="G13" s="657">
        <v>0</v>
      </c>
      <c r="H13" s="632">
        <v>0</v>
      </c>
      <c r="I13" s="462"/>
    </row>
    <row r="14" spans="1:9" ht="15" customHeight="1">
      <c r="A14" s="630" t="s">
        <v>130</v>
      </c>
      <c r="B14" s="631">
        <v>11000</v>
      </c>
      <c r="C14" s="631">
        <v>8500</v>
      </c>
      <c r="D14" s="655">
        <v>11500</v>
      </c>
      <c r="E14" s="631">
        <v>10770</v>
      </c>
      <c r="F14" s="656"/>
      <c r="G14" s="657">
        <v>0</v>
      </c>
      <c r="H14" s="632">
        <v>0</v>
      </c>
      <c r="I14" s="462"/>
    </row>
    <row r="15" spans="1:9" ht="15" customHeight="1">
      <c r="A15" s="630" t="s">
        <v>131</v>
      </c>
      <c r="B15" s="631">
        <v>2100</v>
      </c>
      <c r="C15" s="631">
        <v>2100</v>
      </c>
      <c r="D15" s="655">
        <v>2100</v>
      </c>
      <c r="E15" s="631">
        <v>1850</v>
      </c>
      <c r="F15" s="656"/>
      <c r="G15" s="657">
        <v>0</v>
      </c>
      <c r="H15" s="632">
        <v>0</v>
      </c>
      <c r="I15" s="462"/>
    </row>
    <row r="16" spans="1:9" ht="15" customHeight="1">
      <c r="A16" s="630" t="s">
        <v>156</v>
      </c>
      <c r="B16" s="631">
        <v>8500</v>
      </c>
      <c r="C16" s="631">
        <v>0</v>
      </c>
      <c r="D16" s="655">
        <v>0</v>
      </c>
      <c r="E16" s="631"/>
      <c r="F16" s="656">
        <v>8500</v>
      </c>
      <c r="G16" s="657">
        <v>8500</v>
      </c>
      <c r="H16" s="632">
        <v>8500</v>
      </c>
      <c r="I16" s="462">
        <v>3956</v>
      </c>
    </row>
    <row r="17" spans="1:9" ht="15" customHeight="1">
      <c r="A17" s="630" t="s">
        <v>186</v>
      </c>
      <c r="B17" s="631">
        <v>4000</v>
      </c>
      <c r="C17" s="631">
        <v>4000</v>
      </c>
      <c r="D17" s="655">
        <v>6000</v>
      </c>
      <c r="E17" s="631">
        <v>4980</v>
      </c>
      <c r="F17" s="656"/>
      <c r="G17" s="657">
        <v>0</v>
      </c>
      <c r="H17" s="632">
        <v>0</v>
      </c>
      <c r="I17" s="462"/>
    </row>
    <row r="18" spans="1:9" ht="15" customHeight="1">
      <c r="A18" s="630" t="s">
        <v>202</v>
      </c>
      <c r="B18" s="631">
        <v>150</v>
      </c>
      <c r="C18" s="631">
        <v>150</v>
      </c>
      <c r="D18" s="655">
        <v>150</v>
      </c>
      <c r="E18" s="631">
        <v>140</v>
      </c>
      <c r="F18" s="656"/>
      <c r="G18" s="657">
        <v>0</v>
      </c>
      <c r="H18" s="632">
        <v>0</v>
      </c>
      <c r="I18" s="462"/>
    </row>
    <row r="19" spans="1:9" ht="15" customHeight="1">
      <c r="A19" s="630" t="s">
        <v>1032</v>
      </c>
      <c r="B19" s="631">
        <v>1500</v>
      </c>
      <c r="C19" s="631">
        <v>0</v>
      </c>
      <c r="D19" s="655">
        <v>0</v>
      </c>
      <c r="E19" s="631"/>
      <c r="F19" s="656">
        <v>1500</v>
      </c>
      <c r="G19" s="657">
        <v>1500</v>
      </c>
      <c r="H19" s="632">
        <v>1500</v>
      </c>
      <c r="I19" s="462">
        <v>357</v>
      </c>
    </row>
    <row r="20" spans="1:9" ht="15" customHeight="1">
      <c r="A20" s="630" t="s">
        <v>203</v>
      </c>
      <c r="B20" s="631"/>
      <c r="C20" s="631">
        <v>0</v>
      </c>
      <c r="D20" s="655">
        <v>0</v>
      </c>
      <c r="E20" s="631"/>
      <c r="F20" s="656"/>
      <c r="G20" s="657">
        <v>0</v>
      </c>
      <c r="H20" s="632">
        <v>0</v>
      </c>
      <c r="I20" s="462"/>
    </row>
    <row r="21" spans="1:9" ht="15" customHeight="1">
      <c r="A21" s="630" t="s">
        <v>204</v>
      </c>
      <c r="B21" s="631"/>
      <c r="C21" s="631">
        <v>0</v>
      </c>
      <c r="D21" s="655">
        <v>0</v>
      </c>
      <c r="E21" s="631"/>
      <c r="F21" s="656"/>
      <c r="G21" s="657">
        <v>0</v>
      </c>
      <c r="H21" s="632">
        <v>0</v>
      </c>
      <c r="I21" s="462"/>
    </row>
    <row r="22" spans="1:9" ht="15" customHeight="1">
      <c r="A22" s="630" t="s">
        <v>64</v>
      </c>
      <c r="B22" s="631">
        <v>300</v>
      </c>
      <c r="C22" s="631">
        <v>0</v>
      </c>
      <c r="D22" s="655">
        <v>0</v>
      </c>
      <c r="E22" s="631"/>
      <c r="F22" s="656">
        <v>300</v>
      </c>
      <c r="G22" s="657">
        <v>300</v>
      </c>
      <c r="H22" s="632">
        <v>10</v>
      </c>
      <c r="I22" s="462">
        <v>10</v>
      </c>
    </row>
    <row r="23" spans="1:9" ht="15" customHeight="1">
      <c r="A23" s="630" t="s">
        <v>205</v>
      </c>
      <c r="B23" s="631"/>
      <c r="C23" s="631">
        <v>0</v>
      </c>
      <c r="D23" s="655">
        <v>0</v>
      </c>
      <c r="E23" s="631"/>
      <c r="F23" s="656"/>
      <c r="G23" s="657">
        <v>0</v>
      </c>
      <c r="H23" s="632">
        <v>0</v>
      </c>
      <c r="I23" s="462"/>
    </row>
    <row r="24" spans="1:9" ht="15" customHeight="1">
      <c r="A24" s="630" t="s">
        <v>1035</v>
      </c>
      <c r="B24" s="631"/>
      <c r="C24" s="631">
        <v>0</v>
      </c>
      <c r="D24" s="655">
        <v>0</v>
      </c>
      <c r="E24" s="631"/>
      <c r="F24" s="656"/>
      <c r="G24" s="657">
        <v>0</v>
      </c>
      <c r="H24" s="632">
        <v>0</v>
      </c>
      <c r="I24" s="462"/>
    </row>
    <row r="25" spans="1:9" ht="15" customHeight="1">
      <c r="A25" s="630" t="s">
        <v>206</v>
      </c>
      <c r="B25" s="631">
        <v>28000</v>
      </c>
      <c r="C25" s="631">
        <v>28000</v>
      </c>
      <c r="D25" s="655">
        <v>28000</v>
      </c>
      <c r="E25" s="631">
        <v>27823</v>
      </c>
      <c r="F25" s="656"/>
      <c r="G25" s="657">
        <v>0</v>
      </c>
      <c r="H25" s="632">
        <v>0</v>
      </c>
      <c r="I25" s="462"/>
    </row>
    <row r="26" spans="1:9" ht="15" customHeight="1">
      <c r="A26" s="630" t="s">
        <v>212</v>
      </c>
      <c r="B26" s="631"/>
      <c r="C26" s="631"/>
      <c r="D26" s="655"/>
      <c r="E26" s="631">
        <v>38</v>
      </c>
      <c r="F26" s="656"/>
      <c r="G26" s="657"/>
      <c r="H26" s="632"/>
      <c r="I26" s="462"/>
    </row>
    <row r="27" spans="1:9" ht="15" customHeight="1">
      <c r="A27" s="630" t="s">
        <v>207</v>
      </c>
      <c r="B27" s="631"/>
      <c r="C27" s="631"/>
      <c r="D27" s="655">
        <v>1500</v>
      </c>
      <c r="E27" s="631">
        <v>1575</v>
      </c>
      <c r="F27" s="656"/>
      <c r="G27" s="657"/>
      <c r="H27" s="632">
        <v>0</v>
      </c>
      <c r="I27" s="462"/>
    </row>
    <row r="28" spans="1:9" s="31" customFormat="1" ht="15" customHeight="1">
      <c r="A28" s="633" t="s">
        <v>173</v>
      </c>
      <c r="B28" s="634">
        <f>SUM(B5+B6+B7+B8+B9+B10+B11+B12+B13+B14+B15+B16+B17+B18+B19+B22+B25)</f>
        <v>189350</v>
      </c>
      <c r="C28" s="634">
        <f>SUM(C5:C25)</f>
        <v>45950</v>
      </c>
      <c r="D28" s="658">
        <f>SUM(D5:D27)</f>
        <v>56560</v>
      </c>
      <c r="E28" s="634">
        <f>SUM(E6:E27)</f>
        <v>49856</v>
      </c>
      <c r="F28" s="659">
        <f>SUM(F5+F6+F7+F8+F9+F10+F11+F12+F13+F14+F15+F16+F17+F18+F19+F22+F25)</f>
        <v>118490</v>
      </c>
      <c r="G28" s="660">
        <f>SUM(G5:G25)</f>
        <v>118490</v>
      </c>
      <c r="H28" s="661">
        <f>SUM(H5:H27)</f>
        <v>95597</v>
      </c>
      <c r="I28" s="668">
        <f>SUM(I5:I27)</f>
        <v>89810</v>
      </c>
    </row>
    <row r="29" spans="1:9" ht="15" customHeight="1">
      <c r="A29" s="636"/>
      <c r="B29" s="637"/>
      <c r="C29" s="637"/>
      <c r="D29" s="662"/>
      <c r="E29" s="637"/>
      <c r="F29" s="656"/>
      <c r="G29" s="657"/>
      <c r="H29" s="632"/>
      <c r="I29" s="462"/>
    </row>
    <row r="30" spans="1:9" ht="15" customHeight="1">
      <c r="A30" s="630" t="s">
        <v>208</v>
      </c>
      <c r="B30" s="631">
        <v>4000</v>
      </c>
      <c r="C30" s="631">
        <v>4000</v>
      </c>
      <c r="D30" s="655">
        <v>4000</v>
      </c>
      <c r="E30" s="631">
        <v>1157</v>
      </c>
      <c r="F30" s="656"/>
      <c r="G30" s="657">
        <v>0</v>
      </c>
      <c r="H30" s="632">
        <v>0</v>
      </c>
      <c r="I30" s="462"/>
    </row>
    <row r="31" spans="1:9" ht="15" customHeight="1">
      <c r="A31" s="630" t="s">
        <v>136</v>
      </c>
      <c r="B31" s="631">
        <v>1500</v>
      </c>
      <c r="C31" s="631">
        <v>1500</v>
      </c>
      <c r="D31" s="655">
        <v>1500</v>
      </c>
      <c r="E31" s="631">
        <v>1314</v>
      </c>
      <c r="F31" s="656"/>
      <c r="G31" s="657">
        <v>0</v>
      </c>
      <c r="H31" s="632">
        <v>0</v>
      </c>
      <c r="I31" s="462"/>
    </row>
    <row r="32" spans="1:9" ht="15" customHeight="1">
      <c r="A32" s="630" t="s">
        <v>135</v>
      </c>
      <c r="B32" s="631">
        <v>2000</v>
      </c>
      <c r="C32" s="631">
        <f>2000+2500</f>
        <v>4500</v>
      </c>
      <c r="D32" s="655">
        <v>1500</v>
      </c>
      <c r="E32" s="631">
        <v>1435</v>
      </c>
      <c r="F32" s="656"/>
      <c r="G32" s="657">
        <v>0</v>
      </c>
      <c r="H32" s="632">
        <v>0</v>
      </c>
      <c r="I32" s="462"/>
    </row>
    <row r="33" spans="1:9" ht="15" customHeight="1">
      <c r="A33" s="630" t="s">
        <v>209</v>
      </c>
      <c r="B33" s="631">
        <v>5000</v>
      </c>
      <c r="C33" s="631">
        <v>5000</v>
      </c>
      <c r="D33" s="655">
        <v>2000</v>
      </c>
      <c r="E33" s="631">
        <v>1433</v>
      </c>
      <c r="F33" s="656"/>
      <c r="G33" s="657">
        <v>0</v>
      </c>
      <c r="H33" s="632">
        <v>0</v>
      </c>
      <c r="I33" s="462"/>
    </row>
    <row r="34" spans="1:9" s="31" customFormat="1" ht="15" customHeight="1">
      <c r="A34" s="633" t="s">
        <v>210</v>
      </c>
      <c r="B34" s="634">
        <f>SUM(B30+B31+B32+B33)</f>
        <v>12500</v>
      </c>
      <c r="C34" s="634">
        <f>SUM(C30:C33)</f>
        <v>15000</v>
      </c>
      <c r="D34" s="658">
        <f>SUM(D30:D33)</f>
        <v>9000</v>
      </c>
      <c r="E34" s="634">
        <f>SUM(E30:E33)</f>
        <v>5339</v>
      </c>
      <c r="F34" s="659">
        <f>SUM(F30:F33)</f>
        <v>0</v>
      </c>
      <c r="G34" s="660">
        <v>0</v>
      </c>
      <c r="H34" s="661">
        <f>SUM(H30:H33)</f>
        <v>0</v>
      </c>
      <c r="I34" s="709"/>
    </row>
    <row r="35" spans="1:9" ht="15" customHeight="1">
      <c r="A35" s="630"/>
      <c r="B35" s="631"/>
      <c r="C35" s="631"/>
      <c r="D35" s="655"/>
      <c r="E35" s="631"/>
      <c r="F35" s="656"/>
      <c r="G35" s="657"/>
      <c r="H35" s="632"/>
      <c r="I35" s="462"/>
    </row>
    <row r="36" spans="1:9" s="31" customFormat="1" ht="15" customHeight="1">
      <c r="A36" s="633" t="s">
        <v>176</v>
      </c>
      <c r="B36" s="634">
        <f>SUM(B28+B34)</f>
        <v>201850</v>
      </c>
      <c r="C36" s="634">
        <f>SUM(C28+C34)</f>
        <v>60950</v>
      </c>
      <c r="D36" s="658">
        <f>SUM(D28+D34)</f>
        <v>65560</v>
      </c>
      <c r="E36" s="634">
        <f>SUM(E28+E34)</f>
        <v>55195</v>
      </c>
      <c r="F36" s="659">
        <f>SUM(F28+F34)</f>
        <v>118490</v>
      </c>
      <c r="G36" s="660">
        <f>G28+G34</f>
        <v>118490</v>
      </c>
      <c r="H36" s="661">
        <f>H28+H34</f>
        <v>95597</v>
      </c>
      <c r="I36" s="668">
        <f>I28+I34</f>
        <v>89810</v>
      </c>
    </row>
    <row r="37" spans="1:9" ht="15" customHeight="1">
      <c r="A37" s="58"/>
      <c r="B37" s="631"/>
      <c r="C37" s="631"/>
      <c r="D37" s="655"/>
      <c r="E37" s="631"/>
      <c r="F37" s="656"/>
      <c r="G37" s="657"/>
      <c r="H37" s="632"/>
      <c r="I37" s="462"/>
    </row>
    <row r="38" spans="1:9" s="31" customFormat="1" ht="15" customHeight="1">
      <c r="A38" s="57" t="s">
        <v>177</v>
      </c>
      <c r="B38" s="634">
        <f>SUM(B39+B40)</f>
        <v>7368</v>
      </c>
      <c r="C38" s="634">
        <f>SUM(C39+C40)</f>
        <v>408</v>
      </c>
      <c r="D38" s="658">
        <f>SUM(D39+D40)</f>
        <v>408</v>
      </c>
      <c r="E38" s="634"/>
      <c r="F38" s="659">
        <f>SUM(F39+F40)</f>
        <v>5220</v>
      </c>
      <c r="G38" s="634">
        <f>SUM(G39+G40)</f>
        <v>5220</v>
      </c>
      <c r="H38" s="635">
        <f>SUM(H39+H40)</f>
        <v>339</v>
      </c>
      <c r="I38" s="709">
        <v>339</v>
      </c>
    </row>
    <row r="39" spans="1:9" ht="15" customHeight="1">
      <c r="A39" s="58" t="s">
        <v>178</v>
      </c>
      <c r="B39" s="631">
        <v>6960</v>
      </c>
      <c r="C39" s="631">
        <v>0</v>
      </c>
      <c r="D39" s="655">
        <v>0</v>
      </c>
      <c r="E39" s="631"/>
      <c r="F39" s="656">
        <v>5220</v>
      </c>
      <c r="G39" s="657">
        <v>5220</v>
      </c>
      <c r="H39" s="632">
        <v>339</v>
      </c>
      <c r="I39" s="462">
        <v>339</v>
      </c>
    </row>
    <row r="40" spans="1:9" ht="15" customHeight="1">
      <c r="A40" s="58" t="s">
        <v>211</v>
      </c>
      <c r="B40" s="631">
        <v>408</v>
      </c>
      <c r="C40" s="631">
        <v>408</v>
      </c>
      <c r="D40" s="655">
        <v>408</v>
      </c>
      <c r="E40" s="631"/>
      <c r="F40" s="656"/>
      <c r="G40" s="657">
        <v>0</v>
      </c>
      <c r="H40" s="632"/>
      <c r="I40" s="462"/>
    </row>
    <row r="41" spans="1:9" ht="15" customHeight="1">
      <c r="A41" s="58"/>
      <c r="B41" s="631"/>
      <c r="C41" s="631"/>
      <c r="D41" s="655"/>
      <c r="E41" s="631"/>
      <c r="F41" s="656"/>
      <c r="G41" s="657"/>
      <c r="H41" s="632"/>
      <c r="I41" s="462"/>
    </row>
    <row r="42" spans="1:9" s="30" customFormat="1" ht="15" customHeight="1" thickBot="1">
      <c r="A42" s="640" t="s">
        <v>1095</v>
      </c>
      <c r="B42" s="641">
        <f aca="true" t="shared" si="0" ref="B42:I42">SUM(B36+B38)</f>
        <v>209218</v>
      </c>
      <c r="C42" s="641">
        <f t="shared" si="0"/>
        <v>61358</v>
      </c>
      <c r="D42" s="663">
        <f t="shared" si="0"/>
        <v>65968</v>
      </c>
      <c r="E42" s="663">
        <f t="shared" si="0"/>
        <v>55195</v>
      </c>
      <c r="F42" s="664">
        <f t="shared" si="0"/>
        <v>123710</v>
      </c>
      <c r="G42" s="641">
        <f t="shared" si="0"/>
        <v>123710</v>
      </c>
      <c r="H42" s="642">
        <f t="shared" si="0"/>
        <v>95936</v>
      </c>
      <c r="I42" s="710">
        <f t="shared" si="0"/>
        <v>90149</v>
      </c>
    </row>
    <row r="43" spans="1:5" ht="12.75">
      <c r="A43" s="2"/>
      <c r="B43" s="2"/>
      <c r="C43" s="2"/>
      <c r="D43" s="2"/>
      <c r="E43" s="2"/>
    </row>
  </sheetData>
  <mergeCells count="2">
    <mergeCell ref="A1:I1"/>
    <mergeCell ref="A2:I2"/>
  </mergeCells>
  <printOptions horizontalCentered="1"/>
  <pageMargins left="0.3937007874015748" right="0.3937007874015748" top="0.63" bottom="0.18" header="0.34" footer="0.1968503937007874"/>
  <pageSetup horizontalDpi="600" verticalDpi="600" orientation="landscape" paperSize="9" scale="75" r:id="rId1"/>
  <headerFooter alignWithMargins="0">
    <oddHeader>&amp;L&amp;8 9. melléklet 14/2013.(V.2.) önkormányzati rendelethez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workbookViewId="0" topLeftCell="A1">
      <selection activeCell="A16" sqref="A16"/>
    </sheetView>
  </sheetViews>
  <sheetFormatPr defaultColWidth="9.00390625" defaultRowHeight="12.75"/>
  <cols>
    <col min="1" max="1" width="61.375" style="0" customWidth="1"/>
    <col min="2" max="2" width="10.75390625" style="0" customWidth="1"/>
    <col min="3" max="3" width="10.75390625" style="0" hidden="1" customWidth="1"/>
    <col min="4" max="4" width="14.375" style="622" customWidth="1"/>
    <col min="5" max="5" width="13.375" style="0" customWidth="1"/>
  </cols>
  <sheetData>
    <row r="1" spans="1:5" ht="12.75" customHeight="1">
      <c r="A1" s="1464" t="s">
        <v>148</v>
      </c>
      <c r="B1" s="1464"/>
      <c r="C1" s="1464"/>
      <c r="D1" s="1464"/>
      <c r="E1" s="1464"/>
    </row>
    <row r="2" spans="1:5" ht="12.75">
      <c r="A2" s="1464" t="s">
        <v>149</v>
      </c>
      <c r="B2" s="1464"/>
      <c r="C2" s="1464"/>
      <c r="D2" s="1464"/>
      <c r="E2" s="1464"/>
    </row>
    <row r="3" spans="1:3" ht="16.5" thickBot="1">
      <c r="A3" s="4"/>
      <c r="B3" s="2"/>
      <c r="C3" s="2"/>
    </row>
    <row r="4" spans="1:5" ht="55.5" customHeight="1" thickBot="1">
      <c r="A4" s="623" t="s">
        <v>873</v>
      </c>
      <c r="B4" s="624" t="s">
        <v>754</v>
      </c>
      <c r="C4" s="624" t="s">
        <v>1027</v>
      </c>
      <c r="D4" s="625" t="s">
        <v>550</v>
      </c>
      <c r="E4" s="626" t="s">
        <v>535</v>
      </c>
    </row>
    <row r="5" spans="1:5" ht="15" customHeight="1">
      <c r="A5" s="627" t="s">
        <v>150</v>
      </c>
      <c r="B5" s="628"/>
      <c r="C5" s="628">
        <v>50000</v>
      </c>
      <c r="D5" s="629">
        <v>33591</v>
      </c>
      <c r="E5" s="665">
        <v>33464</v>
      </c>
    </row>
    <row r="6" spans="1:5" ht="15" customHeight="1">
      <c r="A6" s="630" t="s">
        <v>151</v>
      </c>
      <c r="B6" s="631"/>
      <c r="C6" s="631">
        <v>20000</v>
      </c>
      <c r="D6" s="632">
        <v>18700</v>
      </c>
      <c r="E6" s="666">
        <v>18687</v>
      </c>
    </row>
    <row r="7" spans="1:5" ht="15" customHeight="1">
      <c r="A7" s="630" t="s">
        <v>152</v>
      </c>
      <c r="B7" s="631"/>
      <c r="C7" s="631">
        <v>4000</v>
      </c>
      <c r="D7" s="632">
        <v>3100</v>
      </c>
      <c r="E7" s="666">
        <v>3055</v>
      </c>
    </row>
    <row r="8" spans="1:5" ht="15" customHeight="1">
      <c r="A8" s="630" t="s">
        <v>60</v>
      </c>
      <c r="B8" s="631"/>
      <c r="C8" s="631">
        <v>1300</v>
      </c>
      <c r="D8" s="632">
        <v>757</v>
      </c>
      <c r="E8" s="666">
        <v>659</v>
      </c>
    </row>
    <row r="9" spans="1:5" ht="15" customHeight="1">
      <c r="A9" s="630" t="s">
        <v>61</v>
      </c>
      <c r="B9" s="631"/>
      <c r="C9" s="631">
        <v>16800</v>
      </c>
      <c r="D9" s="632">
        <v>19601</v>
      </c>
      <c r="E9" s="666">
        <v>20324</v>
      </c>
    </row>
    <row r="10" spans="1:5" ht="15" customHeight="1">
      <c r="A10" s="630" t="s">
        <v>153</v>
      </c>
      <c r="B10" s="631"/>
      <c r="C10" s="631">
        <v>9500</v>
      </c>
      <c r="D10" s="632">
        <v>4711</v>
      </c>
      <c r="E10" s="666">
        <v>4217</v>
      </c>
    </row>
    <row r="11" spans="1:5" ht="15" customHeight="1">
      <c r="A11" s="630" t="s">
        <v>154</v>
      </c>
      <c r="B11" s="631"/>
      <c r="C11" s="631"/>
      <c r="D11" s="632">
        <v>276</v>
      </c>
      <c r="E11" s="666">
        <v>255</v>
      </c>
    </row>
    <row r="12" spans="1:5" ht="15" customHeight="1">
      <c r="A12" s="630" t="s">
        <v>155</v>
      </c>
      <c r="B12" s="631"/>
      <c r="C12" s="631">
        <v>29000</v>
      </c>
      <c r="D12" s="632">
        <v>25843</v>
      </c>
      <c r="E12" s="666">
        <v>22407</v>
      </c>
    </row>
    <row r="13" spans="1:5" ht="15" customHeight="1">
      <c r="A13" s="630" t="s">
        <v>156</v>
      </c>
      <c r="B13" s="631"/>
      <c r="C13" s="631">
        <v>8500</v>
      </c>
      <c r="D13" s="632">
        <v>3990</v>
      </c>
      <c r="E13" s="666">
        <v>3956</v>
      </c>
    </row>
    <row r="14" spans="1:5" ht="15" customHeight="1">
      <c r="A14" s="630" t="s">
        <v>1032</v>
      </c>
      <c r="B14" s="631"/>
      <c r="C14" s="631">
        <v>1500</v>
      </c>
      <c r="D14" s="632">
        <v>1500</v>
      </c>
      <c r="E14" s="666">
        <v>357</v>
      </c>
    </row>
    <row r="15" spans="1:5" ht="15" customHeight="1">
      <c r="A15" s="630" t="s">
        <v>64</v>
      </c>
      <c r="B15" s="631"/>
      <c r="C15" s="631">
        <v>300</v>
      </c>
      <c r="D15" s="632">
        <v>10</v>
      </c>
      <c r="E15" s="666">
        <v>10</v>
      </c>
    </row>
    <row r="16" spans="1:5" ht="15" customHeight="1">
      <c r="A16" s="630" t="s">
        <v>1035</v>
      </c>
      <c r="B16" s="631"/>
      <c r="C16" s="631">
        <v>0</v>
      </c>
      <c r="D16" s="632">
        <v>5918</v>
      </c>
      <c r="E16" s="666">
        <v>5917</v>
      </c>
    </row>
    <row r="17" spans="1:5" s="31" customFormat="1" ht="15" customHeight="1">
      <c r="A17" s="633" t="s">
        <v>173</v>
      </c>
      <c r="B17" s="634"/>
      <c r="C17" s="634">
        <f>SUM(C5:C16)</f>
        <v>140900</v>
      </c>
      <c r="D17" s="635">
        <f>SUM(D5:D16)</f>
        <v>117997</v>
      </c>
      <c r="E17" s="668">
        <f>SUM(E5:E16)</f>
        <v>113308</v>
      </c>
    </row>
    <row r="18" spans="1:5" ht="15" customHeight="1">
      <c r="A18" s="636"/>
      <c r="B18" s="637"/>
      <c r="C18" s="637"/>
      <c r="D18" s="638"/>
      <c r="E18" s="666"/>
    </row>
    <row r="19" spans="1:5" ht="15" customHeight="1">
      <c r="A19" s="630" t="s">
        <v>174</v>
      </c>
      <c r="B19" s="631"/>
      <c r="C19" s="631"/>
      <c r="D19" s="638">
        <v>4559</v>
      </c>
      <c r="E19" s="666">
        <v>4095</v>
      </c>
    </row>
    <row r="20" spans="1:5" ht="15" customHeight="1">
      <c r="A20" s="633" t="s">
        <v>175</v>
      </c>
      <c r="B20" s="631"/>
      <c r="C20" s="631"/>
      <c r="D20" s="639">
        <v>4559</v>
      </c>
      <c r="E20" s="668">
        <f>SUM(E19)</f>
        <v>4095</v>
      </c>
    </row>
    <row r="21" spans="1:5" s="31" customFormat="1" ht="15" customHeight="1">
      <c r="A21" s="633" t="s">
        <v>176</v>
      </c>
      <c r="B21" s="634"/>
      <c r="C21" s="634" t="e">
        <f>SUM(C17+#REF!)</f>
        <v>#REF!</v>
      </c>
      <c r="D21" s="635">
        <f>SUM(D17+D20)</f>
        <v>122556</v>
      </c>
      <c r="E21" s="668">
        <f>SUM(E17+E20)</f>
        <v>117403</v>
      </c>
    </row>
    <row r="22" spans="1:5" ht="15" customHeight="1">
      <c r="A22" s="58"/>
      <c r="B22" s="631"/>
      <c r="C22" s="631"/>
      <c r="D22" s="638"/>
      <c r="E22" s="666"/>
    </row>
    <row r="23" spans="1:5" s="31" customFormat="1" ht="15" customHeight="1">
      <c r="A23" s="57" t="s">
        <v>177</v>
      </c>
      <c r="B23" s="634"/>
      <c r="C23" s="634" t="e">
        <f>SUM(C24+#REF!)</f>
        <v>#REF!</v>
      </c>
      <c r="D23" s="635">
        <f>SUM(D24)</f>
        <v>452</v>
      </c>
      <c r="E23" s="668">
        <v>339</v>
      </c>
    </row>
    <row r="24" spans="1:5" ht="15" customHeight="1">
      <c r="A24" s="58" t="s">
        <v>178</v>
      </c>
      <c r="B24" s="631"/>
      <c r="C24" s="631">
        <v>6960</v>
      </c>
      <c r="D24" s="632">
        <v>452</v>
      </c>
      <c r="E24" s="666">
        <v>339</v>
      </c>
    </row>
    <row r="25" spans="1:5" ht="15" customHeight="1">
      <c r="A25" s="58"/>
      <c r="B25" s="631"/>
      <c r="C25" s="631"/>
      <c r="D25" s="638"/>
      <c r="E25" s="462"/>
    </row>
    <row r="26" spans="1:5" s="30" customFormat="1" ht="15" customHeight="1" thickBot="1">
      <c r="A26" s="640" t="s">
        <v>1095</v>
      </c>
      <c r="B26" s="641"/>
      <c r="C26" s="641" t="e">
        <f>SUM(C21+C23)</f>
        <v>#REF!</v>
      </c>
      <c r="D26" s="642">
        <f>SUM(D21+D23)</f>
        <v>123008</v>
      </c>
      <c r="E26" s="667">
        <f>SUM(E21+E23)</f>
        <v>117742</v>
      </c>
    </row>
    <row r="27" spans="1:3" ht="12.75">
      <c r="A27" s="2"/>
      <c r="B27" s="2"/>
      <c r="C27" s="2"/>
    </row>
    <row r="28" spans="1:4" ht="12.75">
      <c r="A28" s="1466"/>
      <c r="B28" s="1466"/>
      <c r="C28" s="1466"/>
      <c r="D28" s="1466"/>
    </row>
    <row r="29" spans="1:4" ht="12.75">
      <c r="A29" s="1467"/>
      <c r="B29" s="1467"/>
      <c r="C29" s="1467"/>
      <c r="D29" s="1467"/>
    </row>
    <row r="30" spans="1:4" ht="12.75">
      <c r="A30" s="1467"/>
      <c r="B30" s="1467"/>
      <c r="C30" s="1467"/>
      <c r="D30" s="1467"/>
    </row>
    <row r="31" spans="1:4" ht="12.75">
      <c r="A31" s="1465"/>
      <c r="B31" s="1465"/>
      <c r="C31" s="1465"/>
      <c r="D31" s="1465"/>
    </row>
    <row r="32" spans="1:4" ht="12.75">
      <c r="A32" s="1465"/>
      <c r="B32" s="1465"/>
      <c r="C32" s="1465"/>
      <c r="D32" s="1465"/>
    </row>
    <row r="33" spans="1:4" ht="12.75">
      <c r="A33" s="1465"/>
      <c r="B33" s="1465"/>
      <c r="C33" s="1465"/>
      <c r="D33" s="1465"/>
    </row>
  </sheetData>
  <mergeCells count="5">
    <mergeCell ref="A31:D33"/>
    <mergeCell ref="A28:D28"/>
    <mergeCell ref="A29:D30"/>
    <mergeCell ref="A1:E1"/>
    <mergeCell ref="A2:E2"/>
  </mergeCells>
  <printOptions/>
  <pageMargins left="0.3937007874015748" right="0.3937007874015748" top="1.05" bottom="0.984251968503937" header="0.39" footer="0.5118110236220472"/>
  <pageSetup horizontalDpi="600" verticalDpi="600" orientation="portrait" paperSize="9" scale="96" r:id="rId1"/>
  <headerFooter alignWithMargins="0">
    <oddHeader>&amp;L9.melléklet a 14/2013. (V.2.)önkormányzati rendelethez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5"/>
  <sheetViews>
    <sheetView view="pageBreakPreview" zoomScaleSheetLayoutView="100" workbookViewId="0" topLeftCell="A85">
      <selection activeCell="A105" sqref="A105:IV105"/>
    </sheetView>
  </sheetViews>
  <sheetFormatPr defaultColWidth="9.00390625" defaultRowHeight="12.75"/>
  <cols>
    <col min="1" max="1" width="76.375" style="361" customWidth="1"/>
    <col min="2" max="2" width="10.125" style="393" customWidth="1"/>
    <col min="3" max="3" width="10.125" style="393" hidden="1" customWidth="1"/>
    <col min="4" max="4" width="12.625" style="364" customWidth="1"/>
    <col min="5" max="5" width="15.625" style="361" customWidth="1"/>
    <col min="6" max="16384" width="9.125" style="361" customWidth="1"/>
  </cols>
  <sheetData>
    <row r="1" spans="1:3" ht="12.75">
      <c r="A1" s="415"/>
      <c r="B1" s="391"/>
      <c r="C1" s="391"/>
    </row>
    <row r="2" spans="1:5" ht="12.75">
      <c r="A2" s="1468" t="s">
        <v>1111</v>
      </c>
      <c r="B2" s="1468"/>
      <c r="C2" s="1468"/>
      <c r="D2" s="1468"/>
      <c r="E2" s="1468"/>
    </row>
    <row r="3" spans="1:3" ht="16.5" thickBot="1">
      <c r="A3" s="416"/>
      <c r="B3" s="391"/>
      <c r="C3" s="391"/>
    </row>
    <row r="4" spans="1:5" ht="12.75" customHeight="1" thickBot="1">
      <c r="A4" s="417" t="s">
        <v>873</v>
      </c>
      <c r="B4" s="418" t="s">
        <v>754</v>
      </c>
      <c r="C4" s="419" t="s">
        <v>1027</v>
      </c>
      <c r="D4" s="368" t="s">
        <v>550</v>
      </c>
      <c r="E4" s="369" t="s">
        <v>535</v>
      </c>
    </row>
    <row r="5" spans="1:5" ht="12.75" customHeight="1">
      <c r="A5" s="420" t="s">
        <v>1112</v>
      </c>
      <c r="B5" s="421"/>
      <c r="C5" s="421"/>
      <c r="D5" s="373"/>
      <c r="E5" s="374"/>
    </row>
    <row r="6" spans="1:5" ht="12.75" customHeight="1">
      <c r="A6" s="422"/>
      <c r="B6" s="423"/>
      <c r="C6" s="423"/>
      <c r="D6" s="378"/>
      <c r="E6" s="379"/>
    </row>
    <row r="7" spans="1:5" ht="12.75">
      <c r="A7" s="424" t="s">
        <v>1113</v>
      </c>
      <c r="B7" s="425">
        <v>78000</v>
      </c>
      <c r="C7" s="426">
        <v>78000</v>
      </c>
      <c r="D7" s="378">
        <v>78000</v>
      </c>
      <c r="E7" s="409">
        <v>78000</v>
      </c>
    </row>
    <row r="8" spans="1:5" ht="12.75">
      <c r="A8" s="380" t="s">
        <v>1114</v>
      </c>
      <c r="B8" s="376">
        <v>400</v>
      </c>
      <c r="C8" s="377">
        <v>400</v>
      </c>
      <c r="D8" s="378">
        <v>400</v>
      </c>
      <c r="E8" s="409"/>
    </row>
    <row r="9" spans="1:5" ht="12.75">
      <c r="A9" s="380" t="s">
        <v>1115</v>
      </c>
      <c r="B9" s="376">
        <v>68553</v>
      </c>
      <c r="C9" s="377">
        <f>68553-5000</f>
        <v>63553</v>
      </c>
      <c r="D9" s="378">
        <v>63553</v>
      </c>
      <c r="E9" s="409">
        <v>63553</v>
      </c>
    </row>
    <row r="10" spans="1:5" ht="12.75">
      <c r="A10" s="380" t="s">
        <v>1116</v>
      </c>
      <c r="B10" s="376"/>
      <c r="C10" s="377">
        <v>1800</v>
      </c>
      <c r="D10" s="378">
        <v>1800</v>
      </c>
      <c r="E10" s="409">
        <v>1800</v>
      </c>
    </row>
    <row r="11" spans="1:5" ht="12.75">
      <c r="A11" s="380" t="s">
        <v>1117</v>
      </c>
      <c r="B11" s="376">
        <v>60500</v>
      </c>
      <c r="C11" s="377">
        <v>60500</v>
      </c>
      <c r="D11" s="378">
        <v>60500</v>
      </c>
      <c r="E11" s="409">
        <v>60500</v>
      </c>
    </row>
    <row r="12" spans="1:5" ht="12.75">
      <c r="A12" s="380" t="s">
        <v>1118</v>
      </c>
      <c r="B12" s="376"/>
      <c r="C12" s="377"/>
      <c r="D12" s="378">
        <v>3964</v>
      </c>
      <c r="E12" s="409">
        <v>3964</v>
      </c>
    </row>
    <row r="13" spans="1:5" ht="12.75">
      <c r="A13" s="380" t="s">
        <v>1119</v>
      </c>
      <c r="B13" s="376"/>
      <c r="C13" s="377"/>
      <c r="D13" s="378">
        <v>20000</v>
      </c>
      <c r="E13" s="409">
        <v>20000</v>
      </c>
    </row>
    <row r="14" spans="1:5" ht="12.75">
      <c r="A14" s="380" t="s">
        <v>1120</v>
      </c>
      <c r="B14" s="376">
        <v>27887</v>
      </c>
      <c r="C14" s="377">
        <v>27887</v>
      </c>
      <c r="D14" s="378">
        <v>27887</v>
      </c>
      <c r="E14" s="409">
        <v>27887</v>
      </c>
    </row>
    <row r="15" spans="1:5" ht="12.75">
      <c r="A15" s="380" t="s">
        <v>1121</v>
      </c>
      <c r="B15" s="376">
        <v>12000</v>
      </c>
      <c r="C15" s="377">
        <v>12000</v>
      </c>
      <c r="D15" s="378">
        <v>12000</v>
      </c>
      <c r="E15" s="409">
        <v>12000</v>
      </c>
    </row>
    <row r="16" spans="1:5" ht="12.75">
      <c r="A16" s="380" t="s">
        <v>1122</v>
      </c>
      <c r="B16" s="376">
        <v>7000</v>
      </c>
      <c r="C16" s="377">
        <v>7000</v>
      </c>
      <c r="D16" s="378">
        <v>7000</v>
      </c>
      <c r="E16" s="409">
        <v>7000</v>
      </c>
    </row>
    <row r="17" spans="1:5" ht="12.75">
      <c r="A17" s="380" t="s">
        <v>1123</v>
      </c>
      <c r="B17" s="376">
        <v>4000</v>
      </c>
      <c r="C17" s="377">
        <v>4000</v>
      </c>
      <c r="D17" s="378">
        <v>4000</v>
      </c>
      <c r="E17" s="409">
        <v>3600</v>
      </c>
    </row>
    <row r="18" spans="1:5" ht="12.75">
      <c r="A18" s="380" t="s">
        <v>1124</v>
      </c>
      <c r="B18" s="376">
        <v>1000</v>
      </c>
      <c r="C18" s="377">
        <v>1000</v>
      </c>
      <c r="D18" s="378">
        <v>1000</v>
      </c>
      <c r="E18" s="409">
        <v>1000</v>
      </c>
    </row>
    <row r="19" spans="1:5" ht="12.75">
      <c r="A19" s="380" t="s">
        <v>1125</v>
      </c>
      <c r="B19" s="376">
        <v>1000</v>
      </c>
      <c r="C19" s="377">
        <v>1000</v>
      </c>
      <c r="D19" s="378">
        <v>1000</v>
      </c>
      <c r="E19" s="409">
        <v>1000</v>
      </c>
    </row>
    <row r="20" spans="1:5" ht="12.75">
      <c r="A20" s="380" t="s">
        <v>1126</v>
      </c>
      <c r="B20" s="376">
        <v>3000</v>
      </c>
      <c r="C20" s="377">
        <v>2600</v>
      </c>
      <c r="D20" s="378">
        <v>2400</v>
      </c>
      <c r="E20" s="409">
        <v>2400</v>
      </c>
    </row>
    <row r="21" spans="1:5" ht="12.75">
      <c r="A21" s="380" t="s">
        <v>1127</v>
      </c>
      <c r="B21" s="376">
        <v>5000</v>
      </c>
      <c r="C21" s="377">
        <v>3750</v>
      </c>
      <c r="D21" s="378">
        <v>3750</v>
      </c>
      <c r="E21" s="409">
        <v>3750</v>
      </c>
    </row>
    <row r="22" spans="1:5" ht="12.75">
      <c r="A22" s="380" t="s">
        <v>1128</v>
      </c>
      <c r="B22" s="376">
        <v>3000</v>
      </c>
      <c r="C22" s="377">
        <v>3000</v>
      </c>
      <c r="D22" s="378">
        <v>2710</v>
      </c>
      <c r="E22" s="409">
        <v>2460</v>
      </c>
    </row>
    <row r="23" spans="1:5" ht="12.75">
      <c r="A23" s="380" t="s">
        <v>1129</v>
      </c>
      <c r="B23" s="376">
        <v>1000</v>
      </c>
      <c r="C23" s="377">
        <v>1000</v>
      </c>
      <c r="D23" s="378">
        <v>1000</v>
      </c>
      <c r="E23" s="409">
        <v>1000</v>
      </c>
    </row>
    <row r="24" spans="1:5" ht="12.75">
      <c r="A24" s="380" t="s">
        <v>1130</v>
      </c>
      <c r="B24" s="376">
        <v>4000</v>
      </c>
      <c r="C24" s="377">
        <v>4000</v>
      </c>
      <c r="D24" s="378">
        <v>2800</v>
      </c>
      <c r="E24" s="409">
        <v>2800</v>
      </c>
    </row>
    <row r="25" spans="1:5" ht="12.75">
      <c r="A25" s="380" t="s">
        <v>1131</v>
      </c>
      <c r="B25" s="376">
        <v>1000</v>
      </c>
      <c r="C25" s="377">
        <v>1000</v>
      </c>
      <c r="D25" s="378">
        <v>1000</v>
      </c>
      <c r="E25" s="409">
        <v>1000</v>
      </c>
    </row>
    <row r="26" spans="1:5" ht="12.75">
      <c r="A26" s="380" t="s">
        <v>1132</v>
      </c>
      <c r="B26" s="376">
        <v>5250</v>
      </c>
      <c r="C26" s="377">
        <v>5250</v>
      </c>
      <c r="D26" s="378">
        <v>5500</v>
      </c>
      <c r="E26" s="409">
        <v>5000</v>
      </c>
    </row>
    <row r="27" spans="1:5" ht="12.75">
      <c r="A27" s="380" t="s">
        <v>1133</v>
      </c>
      <c r="B27" s="376">
        <v>850</v>
      </c>
      <c r="C27" s="377">
        <v>850</v>
      </c>
      <c r="D27" s="378">
        <v>850</v>
      </c>
      <c r="E27" s="409">
        <v>840</v>
      </c>
    </row>
    <row r="28" spans="1:5" ht="12.75">
      <c r="A28" s="380" t="s">
        <v>1134</v>
      </c>
      <c r="B28" s="376">
        <v>80</v>
      </c>
      <c r="C28" s="377">
        <v>80</v>
      </c>
      <c r="D28" s="378">
        <v>80</v>
      </c>
      <c r="E28" s="409"/>
    </row>
    <row r="29" spans="1:5" ht="12.75">
      <c r="A29" s="380" t="s">
        <v>1135</v>
      </c>
      <c r="B29" s="376">
        <v>2000</v>
      </c>
      <c r="C29" s="377">
        <v>2000</v>
      </c>
      <c r="D29" s="378">
        <v>2000</v>
      </c>
      <c r="E29" s="409">
        <v>1875</v>
      </c>
    </row>
    <row r="30" spans="1:5" ht="25.5">
      <c r="A30" s="427" t="s">
        <v>1136</v>
      </c>
      <c r="B30" s="376">
        <f>13000-5000</f>
        <v>8000</v>
      </c>
      <c r="C30" s="377">
        <v>8000</v>
      </c>
      <c r="D30" s="378">
        <v>33000</v>
      </c>
      <c r="E30" s="409">
        <v>33000</v>
      </c>
    </row>
    <row r="31" spans="1:5" ht="12.75">
      <c r="A31" s="380" t="s">
        <v>1137</v>
      </c>
      <c r="B31" s="376">
        <v>500</v>
      </c>
      <c r="C31" s="377">
        <v>500</v>
      </c>
      <c r="D31" s="378">
        <v>500</v>
      </c>
      <c r="E31" s="409">
        <v>500</v>
      </c>
    </row>
    <row r="32" spans="1:5" ht="12.75">
      <c r="A32" s="380" t="s">
        <v>650</v>
      </c>
      <c r="B32" s="376">
        <v>40000</v>
      </c>
      <c r="C32" s="377"/>
      <c r="D32" s="378">
        <v>40000</v>
      </c>
      <c r="E32" s="409"/>
    </row>
    <row r="33" spans="1:5" ht="12.75">
      <c r="A33" s="380" t="s">
        <v>1138</v>
      </c>
      <c r="B33" s="376">
        <v>3000</v>
      </c>
      <c r="C33" s="377">
        <v>3000</v>
      </c>
      <c r="D33" s="378">
        <v>3000</v>
      </c>
      <c r="E33" s="409">
        <v>3000</v>
      </c>
    </row>
    <row r="34" spans="1:5" ht="12.75">
      <c r="A34" s="380" t="s">
        <v>1139</v>
      </c>
      <c r="B34" s="376">
        <v>1500</v>
      </c>
      <c r="C34" s="377">
        <v>1500</v>
      </c>
      <c r="D34" s="378">
        <v>1500</v>
      </c>
      <c r="E34" s="409">
        <v>1500</v>
      </c>
    </row>
    <row r="35" spans="1:5" ht="12.75">
      <c r="A35" s="380" t="s">
        <v>1140</v>
      </c>
      <c r="B35" s="376">
        <v>500</v>
      </c>
      <c r="C35" s="377">
        <v>500</v>
      </c>
      <c r="D35" s="378">
        <v>500</v>
      </c>
      <c r="E35" s="409">
        <v>500</v>
      </c>
    </row>
    <row r="36" spans="1:5" ht="12.75">
      <c r="A36" s="380" t="s">
        <v>1141</v>
      </c>
      <c r="B36" s="376">
        <v>2400</v>
      </c>
      <c r="C36" s="377">
        <v>2400</v>
      </c>
      <c r="D36" s="378">
        <v>2400</v>
      </c>
      <c r="E36" s="409">
        <v>2377</v>
      </c>
    </row>
    <row r="37" spans="1:5" ht="12.75">
      <c r="A37" s="380" t="s">
        <v>1142</v>
      </c>
      <c r="B37" s="376">
        <v>680</v>
      </c>
      <c r="C37" s="377">
        <v>680</v>
      </c>
      <c r="D37" s="378">
        <v>680</v>
      </c>
      <c r="E37" s="409">
        <v>610</v>
      </c>
    </row>
    <row r="38" spans="1:5" ht="12.75">
      <c r="A38" s="380" t="s">
        <v>1143</v>
      </c>
      <c r="B38" s="376">
        <v>320</v>
      </c>
      <c r="C38" s="377">
        <v>320</v>
      </c>
      <c r="D38" s="378">
        <v>320</v>
      </c>
      <c r="E38" s="409">
        <v>320</v>
      </c>
    </row>
    <row r="39" spans="1:5" ht="12.75">
      <c r="A39" s="380" t="s">
        <v>1144</v>
      </c>
      <c r="B39" s="376">
        <v>50</v>
      </c>
      <c r="C39" s="377">
        <v>50</v>
      </c>
      <c r="D39" s="378">
        <v>50</v>
      </c>
      <c r="E39" s="409">
        <v>50</v>
      </c>
    </row>
    <row r="40" spans="1:5" ht="12.75">
      <c r="A40" s="380" t="s">
        <v>651</v>
      </c>
      <c r="B40" s="376">
        <v>2000</v>
      </c>
      <c r="C40" s="377"/>
      <c r="D40" s="378"/>
      <c r="E40" s="409"/>
    </row>
    <row r="41" spans="1:5" ht="12.75">
      <c r="A41" s="380" t="s">
        <v>1145</v>
      </c>
      <c r="B41" s="376">
        <v>2000</v>
      </c>
      <c r="C41" s="377">
        <v>2000</v>
      </c>
      <c r="D41" s="378">
        <v>2000</v>
      </c>
      <c r="E41" s="409">
        <v>2000</v>
      </c>
    </row>
    <row r="42" spans="1:5" ht="12.75">
      <c r="A42" s="380" t="s">
        <v>1146</v>
      </c>
      <c r="B42" s="376"/>
      <c r="C42" s="377"/>
      <c r="D42" s="378">
        <v>531</v>
      </c>
      <c r="E42" s="409">
        <v>531</v>
      </c>
    </row>
    <row r="43" spans="1:5" ht="12.75">
      <c r="A43" s="428" t="s">
        <v>1147</v>
      </c>
      <c r="B43" s="429"/>
      <c r="C43" s="430"/>
      <c r="D43" s="378">
        <v>200</v>
      </c>
      <c r="E43" s="409">
        <v>200</v>
      </c>
    </row>
    <row r="44" spans="1:5" ht="12.75">
      <c r="A44" s="428" t="s">
        <v>1148</v>
      </c>
      <c r="B44" s="429"/>
      <c r="C44" s="430"/>
      <c r="D44" s="378">
        <v>150</v>
      </c>
      <c r="E44" s="409">
        <v>150</v>
      </c>
    </row>
    <row r="45" spans="1:5" ht="12.75">
      <c r="A45" s="428" t="s">
        <v>1149</v>
      </c>
      <c r="B45" s="429"/>
      <c r="C45" s="430"/>
      <c r="D45" s="378">
        <v>125</v>
      </c>
      <c r="E45" s="409">
        <v>125</v>
      </c>
    </row>
    <row r="46" spans="1:5" ht="12.75">
      <c r="A46" s="428" t="s">
        <v>1150</v>
      </c>
      <c r="B46" s="429"/>
      <c r="C46" s="430"/>
      <c r="D46" s="378">
        <v>250</v>
      </c>
      <c r="E46" s="409">
        <v>250</v>
      </c>
    </row>
    <row r="47" spans="1:5" ht="12.75">
      <c r="A47" s="428" t="s">
        <v>1151</v>
      </c>
      <c r="B47" s="429"/>
      <c r="C47" s="430"/>
      <c r="D47" s="378">
        <v>50</v>
      </c>
      <c r="E47" s="409">
        <v>50</v>
      </c>
    </row>
    <row r="48" spans="1:5" ht="12.75">
      <c r="A48" s="428" t="s">
        <v>1152</v>
      </c>
      <c r="B48" s="429"/>
      <c r="C48" s="430"/>
      <c r="D48" s="378">
        <v>100</v>
      </c>
      <c r="E48" s="409">
        <v>100</v>
      </c>
    </row>
    <row r="49" spans="1:5" ht="12.75">
      <c r="A49" s="428" t="s">
        <v>1153</v>
      </c>
      <c r="B49" s="429"/>
      <c r="C49" s="430"/>
      <c r="D49" s="378">
        <v>50</v>
      </c>
      <c r="E49" s="409">
        <v>50</v>
      </c>
    </row>
    <row r="50" spans="1:5" ht="12.75">
      <c r="A50" s="428" t="s">
        <v>1154</v>
      </c>
      <c r="B50" s="429"/>
      <c r="C50" s="430"/>
      <c r="D50" s="378">
        <v>300</v>
      </c>
      <c r="E50" s="409">
        <v>300</v>
      </c>
    </row>
    <row r="51" spans="1:5" ht="12.75">
      <c r="A51" s="428" t="s">
        <v>1155</v>
      </c>
      <c r="B51" s="429"/>
      <c r="C51" s="430"/>
      <c r="D51" s="378">
        <v>500</v>
      </c>
      <c r="E51" s="409">
        <v>500</v>
      </c>
    </row>
    <row r="52" spans="1:5" ht="12.75">
      <c r="A52" s="428" t="s">
        <v>1156</v>
      </c>
      <c r="B52" s="429"/>
      <c r="C52" s="430"/>
      <c r="D52" s="378">
        <v>300</v>
      </c>
      <c r="E52" s="409">
        <v>300</v>
      </c>
    </row>
    <row r="53" spans="1:5" ht="12.75">
      <c r="A53" s="380" t="s">
        <v>1157</v>
      </c>
      <c r="B53" s="376"/>
      <c r="C53" s="377">
        <v>100</v>
      </c>
      <c r="D53" s="378">
        <v>100</v>
      </c>
      <c r="E53" s="409">
        <v>100</v>
      </c>
    </row>
    <row r="54" spans="1:5" ht="12.75">
      <c r="A54" s="380" t="s">
        <v>1158</v>
      </c>
      <c r="B54" s="376"/>
      <c r="C54" s="377">
        <v>150</v>
      </c>
      <c r="D54" s="378">
        <v>150</v>
      </c>
      <c r="E54" s="409">
        <v>150</v>
      </c>
    </row>
    <row r="55" spans="1:5" ht="12.75">
      <c r="A55" s="380" t="s">
        <v>1159</v>
      </c>
      <c r="B55" s="376"/>
      <c r="C55" s="377">
        <v>150</v>
      </c>
      <c r="D55" s="378">
        <v>150</v>
      </c>
      <c r="E55" s="409">
        <v>150</v>
      </c>
    </row>
    <row r="56" spans="1:5" ht="12.75">
      <c r="A56" s="380" t="s">
        <v>1160</v>
      </c>
      <c r="B56" s="376"/>
      <c r="C56" s="377"/>
      <c r="D56" s="378">
        <v>1200</v>
      </c>
      <c r="E56" s="409">
        <v>1200</v>
      </c>
    </row>
    <row r="57" spans="1:5" ht="12.75">
      <c r="A57" s="380" t="s">
        <v>652</v>
      </c>
      <c r="B57" s="376"/>
      <c r="C57" s="377"/>
      <c r="D57" s="378">
        <v>4</v>
      </c>
      <c r="E57" s="409"/>
    </row>
    <row r="58" spans="1:5" ht="12.75">
      <c r="A58" s="380" t="s">
        <v>1161</v>
      </c>
      <c r="B58" s="376"/>
      <c r="C58" s="377"/>
      <c r="D58" s="378">
        <v>116</v>
      </c>
      <c r="E58" s="409">
        <v>116</v>
      </c>
    </row>
    <row r="59" spans="1:5" ht="12.75">
      <c r="A59" s="380" t="s">
        <v>1162</v>
      </c>
      <c r="B59" s="376"/>
      <c r="C59" s="377"/>
      <c r="D59" s="378">
        <v>692</v>
      </c>
      <c r="E59" s="409">
        <v>692</v>
      </c>
    </row>
    <row r="60" spans="1:5" ht="12.75">
      <c r="A60" s="380" t="s">
        <v>1163</v>
      </c>
      <c r="B60" s="376"/>
      <c r="C60" s="377"/>
      <c r="D60" s="378">
        <v>2344</v>
      </c>
      <c r="E60" s="409">
        <v>2344</v>
      </c>
    </row>
    <row r="61" spans="1:5" ht="12.75">
      <c r="A61" s="380" t="s">
        <v>1164</v>
      </c>
      <c r="B61" s="376"/>
      <c r="C61" s="377"/>
      <c r="D61" s="378">
        <v>250</v>
      </c>
      <c r="E61" s="409">
        <v>250</v>
      </c>
    </row>
    <row r="62" spans="1:5" ht="12.75">
      <c r="A62" s="380" t="s">
        <v>1165</v>
      </c>
      <c r="B62" s="376"/>
      <c r="C62" s="377"/>
      <c r="D62" s="378">
        <v>688</v>
      </c>
      <c r="E62" s="409">
        <v>400</v>
      </c>
    </row>
    <row r="63" spans="1:5" ht="12.75">
      <c r="A63" s="380" t="s">
        <v>1166</v>
      </c>
      <c r="B63" s="376"/>
      <c r="C63" s="377"/>
      <c r="D63" s="378">
        <v>50</v>
      </c>
      <c r="E63" s="409">
        <v>50</v>
      </c>
    </row>
    <row r="64" spans="1:5" ht="12.75">
      <c r="A64" s="380" t="s">
        <v>1167</v>
      </c>
      <c r="B64" s="376"/>
      <c r="C64" s="377"/>
      <c r="D64" s="378">
        <v>300</v>
      </c>
      <c r="E64" s="409">
        <v>300</v>
      </c>
    </row>
    <row r="65" spans="1:5" ht="12.75">
      <c r="A65" s="380" t="s">
        <v>1168</v>
      </c>
      <c r="B65" s="376"/>
      <c r="C65" s="377"/>
      <c r="D65" s="378">
        <v>120</v>
      </c>
      <c r="E65" s="409">
        <v>120</v>
      </c>
    </row>
    <row r="66" spans="1:5" s="435" customFormat="1" ht="13.5">
      <c r="A66" s="431" t="s">
        <v>1041</v>
      </c>
      <c r="B66" s="432">
        <f>SUM(B7:B41)</f>
        <v>346470</v>
      </c>
      <c r="C66" s="433">
        <f>SUM(C7:C55)</f>
        <v>300020</v>
      </c>
      <c r="D66" s="434">
        <f>SUM(D7:D65)</f>
        <v>395864</v>
      </c>
      <c r="E66" s="449">
        <f>SUM(E6:E65)</f>
        <v>353714</v>
      </c>
    </row>
    <row r="67" spans="1:5" ht="13.5" thickBot="1">
      <c r="A67" s="436"/>
      <c r="B67" s="437"/>
      <c r="C67" s="438"/>
      <c r="D67" s="439"/>
      <c r="E67" s="413"/>
    </row>
    <row r="68" spans="1:5" ht="12.75" customHeight="1">
      <c r="A68" s="440" t="s">
        <v>1169</v>
      </c>
      <c r="B68" s="441"/>
      <c r="C68" s="442"/>
      <c r="D68" s="373"/>
      <c r="E68" s="450"/>
    </row>
    <row r="69" spans="1:5" ht="12.75">
      <c r="A69" s="380" t="s">
        <v>1170</v>
      </c>
      <c r="B69" s="376">
        <v>1000</v>
      </c>
      <c r="C69" s="377">
        <v>1000</v>
      </c>
      <c r="D69" s="378">
        <v>1000</v>
      </c>
      <c r="E69" s="409">
        <v>400</v>
      </c>
    </row>
    <row r="70" spans="1:5" ht="12.75">
      <c r="A70" s="380" t="s">
        <v>1171</v>
      </c>
      <c r="B70" s="376">
        <v>4000</v>
      </c>
      <c r="C70" s="377">
        <v>4000</v>
      </c>
      <c r="D70" s="378">
        <v>4000</v>
      </c>
      <c r="E70" s="409"/>
    </row>
    <row r="71" spans="1:5" ht="12.75">
      <c r="A71" s="380" t="s">
        <v>1172</v>
      </c>
      <c r="B71" s="376"/>
      <c r="C71" s="377"/>
      <c r="D71" s="378">
        <v>1800</v>
      </c>
      <c r="E71" s="409">
        <v>1800</v>
      </c>
    </row>
    <row r="72" spans="1:5" ht="12.75">
      <c r="A72" s="380" t="s">
        <v>1173</v>
      </c>
      <c r="B72" s="376"/>
      <c r="C72" s="377"/>
      <c r="D72" s="378">
        <v>9000</v>
      </c>
      <c r="E72" s="409"/>
    </row>
    <row r="73" spans="1:5" ht="12.75">
      <c r="A73" s="380" t="s">
        <v>1174</v>
      </c>
      <c r="B73" s="376">
        <v>8750</v>
      </c>
      <c r="C73" s="377">
        <v>8750</v>
      </c>
      <c r="D73" s="378">
        <v>8750</v>
      </c>
      <c r="E73" s="409">
        <v>8750</v>
      </c>
    </row>
    <row r="74" spans="1:5" ht="12.75">
      <c r="A74" s="380" t="s">
        <v>1175</v>
      </c>
      <c r="B74" s="376">
        <v>17052</v>
      </c>
      <c r="C74" s="377">
        <v>17052</v>
      </c>
      <c r="D74" s="378">
        <v>17052</v>
      </c>
      <c r="E74" s="409">
        <v>3217</v>
      </c>
    </row>
    <row r="75" spans="1:5" ht="12.75">
      <c r="A75" s="380" t="s">
        <v>1176</v>
      </c>
      <c r="B75" s="376">
        <v>500</v>
      </c>
      <c r="C75" s="377">
        <v>500</v>
      </c>
      <c r="D75" s="378">
        <v>500</v>
      </c>
      <c r="E75" s="409">
        <v>500</v>
      </c>
    </row>
    <row r="76" spans="1:5" ht="12.75">
      <c r="A76" s="380" t="s">
        <v>1177</v>
      </c>
      <c r="B76" s="376">
        <v>3975</v>
      </c>
      <c r="C76" s="377">
        <v>3975</v>
      </c>
      <c r="D76" s="378">
        <v>3975</v>
      </c>
      <c r="E76" s="409"/>
    </row>
    <row r="77" spans="1:5" ht="12.75">
      <c r="A77" s="380" t="s">
        <v>1178</v>
      </c>
      <c r="B77" s="376">
        <v>1575</v>
      </c>
      <c r="C77" s="377">
        <v>1575</v>
      </c>
      <c r="D77" s="378">
        <v>1575</v>
      </c>
      <c r="E77" s="409">
        <v>28</v>
      </c>
    </row>
    <row r="78" spans="1:5" ht="12.75">
      <c r="A78" s="380" t="s">
        <v>1179</v>
      </c>
      <c r="B78" s="376">
        <v>4500</v>
      </c>
      <c r="C78" s="377">
        <v>4500</v>
      </c>
      <c r="D78" s="378">
        <v>4500</v>
      </c>
      <c r="E78" s="409">
        <v>4500</v>
      </c>
    </row>
    <row r="79" spans="1:5" ht="12.75">
      <c r="A79" s="380" t="s">
        <v>1180</v>
      </c>
      <c r="B79" s="376">
        <v>1000</v>
      </c>
      <c r="C79" s="377">
        <v>1000</v>
      </c>
      <c r="D79" s="378">
        <v>1000</v>
      </c>
      <c r="E79" s="409">
        <v>1000</v>
      </c>
    </row>
    <row r="80" spans="1:5" ht="12.75">
      <c r="A80" s="380" t="s">
        <v>1181</v>
      </c>
      <c r="B80" s="376"/>
      <c r="C80" s="377">
        <v>54</v>
      </c>
      <c r="D80" s="378">
        <v>60</v>
      </c>
      <c r="E80" s="409">
        <v>60</v>
      </c>
    </row>
    <row r="81" spans="1:5" ht="12.75">
      <c r="A81" s="380" t="s">
        <v>1182</v>
      </c>
      <c r="B81" s="376"/>
      <c r="C81" s="377"/>
      <c r="D81" s="378">
        <v>8834</v>
      </c>
      <c r="E81" s="409">
        <v>8834</v>
      </c>
    </row>
    <row r="82" spans="1:5" ht="12.75">
      <c r="A82" s="380" t="s">
        <v>1183</v>
      </c>
      <c r="B82" s="376"/>
      <c r="C82" s="377"/>
      <c r="D82" s="378">
        <v>1100</v>
      </c>
      <c r="E82" s="409">
        <v>1100</v>
      </c>
    </row>
    <row r="83" spans="1:5" ht="12.75">
      <c r="A83" s="380" t="s">
        <v>1184</v>
      </c>
      <c r="B83" s="376"/>
      <c r="C83" s="377"/>
      <c r="D83" s="378">
        <v>8824</v>
      </c>
      <c r="E83" s="409"/>
    </row>
    <row r="84" spans="1:5" ht="12.75">
      <c r="A84" s="380" t="s">
        <v>1185</v>
      </c>
      <c r="B84" s="376"/>
      <c r="C84" s="377"/>
      <c r="D84" s="378">
        <v>647</v>
      </c>
      <c r="E84" s="409">
        <v>647</v>
      </c>
    </row>
    <row r="85" spans="1:5" ht="12.75">
      <c r="A85" s="380" t="s">
        <v>1186</v>
      </c>
      <c r="B85" s="376"/>
      <c r="C85" s="377"/>
      <c r="D85" s="378">
        <v>1350</v>
      </c>
      <c r="E85" s="409">
        <v>1350</v>
      </c>
    </row>
    <row r="86" spans="1:5" ht="12.75">
      <c r="A86" s="380" t="s">
        <v>1130</v>
      </c>
      <c r="B86" s="376"/>
      <c r="C86" s="377"/>
      <c r="D86" s="378">
        <v>1200</v>
      </c>
      <c r="E86" s="409">
        <v>1200</v>
      </c>
    </row>
    <row r="87" spans="1:5" ht="12.75">
      <c r="A87" s="380" t="s">
        <v>1175</v>
      </c>
      <c r="B87" s="376"/>
      <c r="C87" s="377"/>
      <c r="D87" s="378">
        <v>10000</v>
      </c>
      <c r="E87" s="409"/>
    </row>
    <row r="88" spans="1:5" ht="12.75">
      <c r="A88" s="380" t="s">
        <v>1176</v>
      </c>
      <c r="B88" s="376"/>
      <c r="C88" s="377"/>
      <c r="D88" s="378">
        <v>3500</v>
      </c>
      <c r="E88" s="409"/>
    </row>
    <row r="89" spans="1:5" ht="12.75">
      <c r="A89" s="380" t="s">
        <v>1187</v>
      </c>
      <c r="B89" s="376"/>
      <c r="C89" s="377"/>
      <c r="D89" s="378">
        <v>1384</v>
      </c>
      <c r="E89" s="409"/>
    </row>
    <row r="90" spans="1:5" ht="12.75">
      <c r="A90" s="380" t="s">
        <v>1188</v>
      </c>
      <c r="B90" s="376"/>
      <c r="C90" s="377"/>
      <c r="D90" s="378">
        <v>2534</v>
      </c>
      <c r="E90" s="409"/>
    </row>
    <row r="91" spans="1:5" ht="25.5">
      <c r="A91" s="384" t="s">
        <v>1189</v>
      </c>
      <c r="B91" s="376"/>
      <c r="C91" s="377"/>
      <c r="D91" s="378">
        <v>4950</v>
      </c>
      <c r="E91" s="409"/>
    </row>
    <row r="92" spans="1:5" s="435" customFormat="1" ht="13.5">
      <c r="A92" s="431" t="s">
        <v>1041</v>
      </c>
      <c r="B92" s="432">
        <f>SUM(B69:B79)</f>
        <v>42352</v>
      </c>
      <c r="C92" s="433">
        <f>SUM(C69:C80)</f>
        <v>42406</v>
      </c>
      <c r="D92" s="434">
        <f>SUM(D69:D91)</f>
        <v>97535</v>
      </c>
      <c r="E92" s="449">
        <f>SUM(E69:E91)</f>
        <v>33386</v>
      </c>
    </row>
    <row r="93" spans="1:5" ht="12.75">
      <c r="A93" s="380"/>
      <c r="B93" s="376"/>
      <c r="C93" s="377"/>
      <c r="D93" s="378"/>
      <c r="E93" s="409"/>
    </row>
    <row r="94" spans="1:5" s="383" customFormat="1" ht="13.5" thickBot="1">
      <c r="A94" s="399" t="s">
        <v>1095</v>
      </c>
      <c r="B94" s="400">
        <f>SUM(B66,B92)</f>
        <v>388822</v>
      </c>
      <c r="C94" s="443">
        <f>SUM(C66,C92)</f>
        <v>342426</v>
      </c>
      <c r="D94" s="401">
        <f>SUM(D66,D92)</f>
        <v>493399</v>
      </c>
      <c r="E94" s="411">
        <f>SUM(E66+E92)</f>
        <v>387100</v>
      </c>
    </row>
    <row r="96" spans="1:3" ht="12.75">
      <c r="A96" s="415"/>
      <c r="B96" s="391"/>
      <c r="C96" s="391"/>
    </row>
    <row r="97" spans="1:5" ht="12.75">
      <c r="A97" s="1468" t="s">
        <v>1190</v>
      </c>
      <c r="B97" s="1468"/>
      <c r="C97" s="1468"/>
      <c r="D97" s="1468"/>
      <c r="E97" s="1468"/>
    </row>
    <row r="98" ht="13.5" thickBot="1">
      <c r="A98" s="392"/>
    </row>
    <row r="99" spans="1:5" ht="13.5" thickBot="1">
      <c r="A99" s="444" t="s">
        <v>1169</v>
      </c>
      <c r="B99" s="366" t="s">
        <v>754</v>
      </c>
      <c r="C99" s="367" t="s">
        <v>1027</v>
      </c>
      <c r="D99" s="368" t="s">
        <v>550</v>
      </c>
      <c r="E99" s="369" t="s">
        <v>535</v>
      </c>
    </row>
    <row r="100" spans="1:5" ht="12.75">
      <c r="A100" s="445"/>
      <c r="B100" s="425"/>
      <c r="C100" s="426"/>
      <c r="D100" s="373"/>
      <c r="E100" s="374"/>
    </row>
    <row r="101" spans="1:5" ht="12.75">
      <c r="A101" s="380" t="s">
        <v>1175</v>
      </c>
      <c r="B101" s="376">
        <v>10000</v>
      </c>
      <c r="C101" s="377">
        <v>10000</v>
      </c>
      <c r="D101" s="378">
        <v>0</v>
      </c>
      <c r="E101" s="379"/>
    </row>
    <row r="102" spans="1:5" ht="12.75">
      <c r="A102" s="380" t="s">
        <v>1176</v>
      </c>
      <c r="B102" s="376">
        <v>3500</v>
      </c>
      <c r="C102" s="377">
        <v>3500</v>
      </c>
      <c r="D102" s="378">
        <v>0</v>
      </c>
      <c r="E102" s="379"/>
    </row>
    <row r="103" spans="1:5" ht="12.75">
      <c r="A103" s="380" t="s">
        <v>1187</v>
      </c>
      <c r="B103" s="376">
        <v>1384</v>
      </c>
      <c r="C103" s="377">
        <v>1384</v>
      </c>
      <c r="D103" s="378">
        <v>0</v>
      </c>
      <c r="E103" s="379"/>
    </row>
    <row r="104" spans="1:5" ht="12.75">
      <c r="A104" s="380" t="s">
        <v>1188</v>
      </c>
      <c r="B104" s="376">
        <v>2534</v>
      </c>
      <c r="C104" s="377">
        <v>2534</v>
      </c>
      <c r="D104" s="378">
        <v>0</v>
      </c>
      <c r="E104" s="379"/>
    </row>
    <row r="105" spans="1:5" ht="12.75">
      <c r="A105" s="380"/>
      <c r="B105" s="376"/>
      <c r="C105" s="377"/>
      <c r="D105" s="378"/>
      <c r="E105" s="379"/>
    </row>
    <row r="106" spans="1:5" ht="13.5" thickBot="1">
      <c r="A106" s="446" t="s">
        <v>1041</v>
      </c>
      <c r="B106" s="400">
        <f>SUM(B101:B104)</f>
        <v>17418</v>
      </c>
      <c r="C106" s="443">
        <f>SUM(C101:C104)</f>
        <v>17418</v>
      </c>
      <c r="D106" s="401">
        <v>0</v>
      </c>
      <c r="E106" s="389"/>
    </row>
    <row r="107" ht="12.75">
      <c r="A107" s="392"/>
    </row>
    <row r="108" ht="12.75">
      <c r="A108" s="392"/>
    </row>
    <row r="109" ht="12.75">
      <c r="A109" s="392"/>
    </row>
    <row r="110" ht="12.75">
      <c r="A110" s="392"/>
    </row>
    <row r="111" ht="12.75">
      <c r="A111" s="392"/>
    </row>
    <row r="112" ht="12.75">
      <c r="A112" s="392"/>
    </row>
    <row r="113" ht="12.75">
      <c r="A113" s="392"/>
    </row>
    <row r="114" ht="12.75">
      <c r="A114" s="392"/>
    </row>
    <row r="115" ht="12.75">
      <c r="A115" s="392"/>
    </row>
    <row r="116" ht="12.75">
      <c r="A116" s="392"/>
    </row>
    <row r="117" ht="12.75">
      <c r="A117" s="392"/>
    </row>
    <row r="118" ht="12.75">
      <c r="A118" s="392"/>
    </row>
    <row r="119" ht="12.75">
      <c r="A119" s="392"/>
    </row>
    <row r="120" ht="12.75">
      <c r="A120" s="392"/>
    </row>
    <row r="121" ht="12.75">
      <c r="A121" s="392"/>
    </row>
    <row r="122" ht="12.75">
      <c r="A122" s="447"/>
    </row>
    <row r="123" ht="12.75">
      <c r="A123" s="392"/>
    </row>
    <row r="124" ht="12.75">
      <c r="A124" s="392"/>
    </row>
    <row r="125" ht="12.75">
      <c r="A125" s="392"/>
    </row>
    <row r="126" ht="12.75">
      <c r="A126" s="392"/>
    </row>
    <row r="127" ht="12.75">
      <c r="A127" s="392"/>
    </row>
    <row r="128" ht="12.75">
      <c r="A128" s="392"/>
    </row>
    <row r="129" ht="12.75">
      <c r="A129" s="392"/>
    </row>
    <row r="130" ht="12.75">
      <c r="A130" s="392"/>
    </row>
    <row r="131" ht="12.75">
      <c r="A131" s="392"/>
    </row>
    <row r="132" ht="12.75">
      <c r="A132" s="392"/>
    </row>
    <row r="133" ht="12.75">
      <c r="A133" s="447"/>
    </row>
    <row r="135" ht="12.75">
      <c r="A135" s="448"/>
    </row>
  </sheetData>
  <mergeCells count="2">
    <mergeCell ref="A2:E2"/>
    <mergeCell ref="A97:E97"/>
  </mergeCells>
  <printOptions horizontalCentered="1"/>
  <pageMargins left="0.5905511811023623" right="0.5905511811023623" top="0.79" bottom="0.3937007874015748" header="0.3937007874015748" footer="0.5118110236220472"/>
  <pageSetup horizontalDpi="600" verticalDpi="600" orientation="portrait" paperSize="9" scale="80" r:id="rId1"/>
  <headerFooter alignWithMargins="0">
    <oddHeader>&amp;L&amp;9 10. melléklet a 14/2013(V.2.) önkormányzati rendelethez
</oddHeader>
  </headerFooter>
  <rowBreaks count="1" manualBreakCount="1">
    <brk id="67" max="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E119"/>
  <sheetViews>
    <sheetView view="pageBreakPreview" zoomScaleSheetLayoutView="100" workbookViewId="0" topLeftCell="A1">
      <selection activeCell="E19" sqref="E19"/>
    </sheetView>
  </sheetViews>
  <sheetFormatPr defaultColWidth="9.00390625" defaultRowHeight="12.75"/>
  <cols>
    <col min="1" max="1" width="80.00390625" style="361" customWidth="1"/>
    <col min="2" max="2" width="11.875" style="393" customWidth="1"/>
    <col min="3" max="3" width="11.875" style="393" hidden="1" customWidth="1"/>
    <col min="4" max="4" width="13.375" style="364" customWidth="1"/>
    <col min="5" max="5" width="15.625" style="361" customWidth="1"/>
    <col min="6" max="16384" width="9.125" style="361" customWidth="1"/>
  </cols>
  <sheetData>
    <row r="1" spans="1:5" ht="12.75">
      <c r="A1" s="1469" t="s">
        <v>1024</v>
      </c>
      <c r="B1" s="1469"/>
      <c r="C1" s="1469"/>
      <c r="D1" s="1469"/>
      <c r="E1" s="1469"/>
    </row>
    <row r="2" spans="1:5" ht="12.75">
      <c r="A2" s="1469" t="s">
        <v>1025</v>
      </c>
      <c r="B2" s="1469"/>
      <c r="C2" s="1469"/>
      <c r="D2" s="1469"/>
      <c r="E2" s="1469"/>
    </row>
    <row r="3" spans="1:5" ht="12.75">
      <c r="A3" s="1470" t="s">
        <v>1026</v>
      </c>
      <c r="B3" s="1470"/>
      <c r="C3" s="1470"/>
      <c r="D3" s="1470"/>
      <c r="E3" s="1470"/>
    </row>
    <row r="4" spans="1:3" ht="13.5" thickBot="1">
      <c r="A4" s="362"/>
      <c r="B4" s="363"/>
      <c r="C4" s="363"/>
    </row>
    <row r="5" spans="1:5" ht="13.5" thickBot="1">
      <c r="A5" s="365" t="s">
        <v>873</v>
      </c>
      <c r="B5" s="366" t="s">
        <v>753</v>
      </c>
      <c r="C5" s="367" t="s">
        <v>1027</v>
      </c>
      <c r="D5" s="368" t="s">
        <v>550</v>
      </c>
      <c r="E5" s="369" t="s">
        <v>535</v>
      </c>
    </row>
    <row r="6" spans="1:5" ht="12.75">
      <c r="A6" s="370"/>
      <c r="B6" s="371"/>
      <c r="C6" s="372"/>
      <c r="D6" s="373"/>
      <c r="E6" s="374"/>
    </row>
    <row r="7" spans="1:5" ht="12.75">
      <c r="A7" s="375" t="s">
        <v>800</v>
      </c>
      <c r="B7" s="376"/>
      <c r="C7" s="377"/>
      <c r="D7" s="378"/>
      <c r="E7" s="409"/>
    </row>
    <row r="8" spans="1:5" ht="12.75">
      <c r="A8" s="380" t="s">
        <v>1028</v>
      </c>
      <c r="B8" s="376">
        <v>40800</v>
      </c>
      <c r="C8" s="377">
        <v>40800</v>
      </c>
      <c r="D8" s="378">
        <v>52992</v>
      </c>
      <c r="E8" s="409">
        <v>52992</v>
      </c>
    </row>
    <row r="9" spans="1:5" ht="12.75">
      <c r="A9" s="380" t="s">
        <v>1029</v>
      </c>
      <c r="B9" s="376">
        <v>2450</v>
      </c>
      <c r="C9" s="377">
        <v>2450</v>
      </c>
      <c r="D9" s="378">
        <v>2450</v>
      </c>
      <c r="E9" s="409">
        <v>2468</v>
      </c>
    </row>
    <row r="10" spans="1:5" ht="12.75">
      <c r="A10" s="380" t="s">
        <v>1030</v>
      </c>
      <c r="B10" s="376">
        <v>15193</v>
      </c>
      <c r="C10" s="377">
        <v>15193</v>
      </c>
      <c r="D10" s="378">
        <v>15193</v>
      </c>
      <c r="E10" s="409">
        <v>15193</v>
      </c>
    </row>
    <row r="11" spans="1:5" ht="12.75">
      <c r="A11" s="380" t="s">
        <v>1031</v>
      </c>
      <c r="B11" s="376">
        <v>8000</v>
      </c>
      <c r="C11" s="377">
        <v>8000</v>
      </c>
      <c r="D11" s="378">
        <v>8000</v>
      </c>
      <c r="E11" s="409">
        <v>8000</v>
      </c>
    </row>
    <row r="12" spans="1:5" ht="12.75">
      <c r="A12" s="380" t="s">
        <v>1032</v>
      </c>
      <c r="B12" s="376">
        <v>1500</v>
      </c>
      <c r="C12" s="377">
        <v>1500</v>
      </c>
      <c r="D12" s="378">
        <v>1500</v>
      </c>
      <c r="E12" s="409">
        <v>357</v>
      </c>
    </row>
    <row r="13" spans="1:5" ht="12.75">
      <c r="A13" s="380" t="s">
        <v>1033</v>
      </c>
      <c r="B13" s="376">
        <v>31500</v>
      </c>
      <c r="C13" s="377">
        <v>31500</v>
      </c>
      <c r="D13" s="378">
        <v>31500</v>
      </c>
      <c r="E13" s="409">
        <v>29402</v>
      </c>
    </row>
    <row r="14" spans="1:5" ht="12.75">
      <c r="A14" s="380" t="s">
        <v>1034</v>
      </c>
      <c r="B14" s="376">
        <v>8500</v>
      </c>
      <c r="C14" s="377">
        <v>8500</v>
      </c>
      <c r="D14" s="378">
        <v>3990</v>
      </c>
      <c r="E14" s="409">
        <v>3990</v>
      </c>
    </row>
    <row r="15" spans="1:5" ht="12.75">
      <c r="A15" s="380" t="s">
        <v>1035</v>
      </c>
      <c r="B15" s="376"/>
      <c r="C15" s="377"/>
      <c r="D15" s="378">
        <v>4919</v>
      </c>
      <c r="E15" s="409">
        <v>4919</v>
      </c>
    </row>
    <row r="16" spans="1:5" ht="12.75">
      <c r="A16" s="380" t="s">
        <v>1036</v>
      </c>
      <c r="B16" s="376"/>
      <c r="C16" s="377"/>
      <c r="D16" s="378">
        <v>4</v>
      </c>
      <c r="E16" s="409">
        <v>8</v>
      </c>
    </row>
    <row r="17" spans="1:5" ht="12.75">
      <c r="A17" s="380" t="s">
        <v>1037</v>
      </c>
      <c r="B17" s="376"/>
      <c r="C17" s="377"/>
      <c r="D17" s="378">
        <v>3282</v>
      </c>
      <c r="E17" s="409">
        <v>3282</v>
      </c>
    </row>
    <row r="18" spans="1:5" ht="12.75">
      <c r="A18" s="380" t="s">
        <v>1038</v>
      </c>
      <c r="B18" s="376"/>
      <c r="C18" s="377"/>
      <c r="D18" s="378">
        <v>1565</v>
      </c>
      <c r="E18" s="409"/>
    </row>
    <row r="19" spans="1:5" ht="12.75">
      <c r="A19" s="380" t="s">
        <v>1039</v>
      </c>
      <c r="B19" s="376"/>
      <c r="C19" s="377"/>
      <c r="D19" s="378">
        <v>2546</v>
      </c>
      <c r="E19" s="409">
        <v>2546</v>
      </c>
    </row>
    <row r="20" spans="1:5" ht="12.75">
      <c r="A20" s="380" t="s">
        <v>1040</v>
      </c>
      <c r="B20" s="376"/>
      <c r="C20" s="377"/>
      <c r="D20" s="378">
        <v>2216</v>
      </c>
      <c r="E20" s="409">
        <v>2214</v>
      </c>
    </row>
    <row r="21" spans="1:5" ht="12.75">
      <c r="A21" s="380" t="s">
        <v>1109</v>
      </c>
      <c r="B21" s="376"/>
      <c r="C21" s="377"/>
      <c r="D21" s="378"/>
      <c r="E21" s="409">
        <v>8282</v>
      </c>
    </row>
    <row r="22" spans="1:5" s="383" customFormat="1" ht="12.75">
      <c r="A22" s="375" t="s">
        <v>1041</v>
      </c>
      <c r="B22" s="381">
        <f>SUM(B8:B14)</f>
        <v>107943</v>
      </c>
      <c r="C22" s="382">
        <f>SUM(C8:C14)</f>
        <v>107943</v>
      </c>
      <c r="D22" s="382">
        <f>SUM(D8:D20)</f>
        <v>130157</v>
      </c>
      <c r="E22" s="410">
        <f>SUM(E8:E21)</f>
        <v>133653</v>
      </c>
    </row>
    <row r="23" spans="1:5" ht="12.75">
      <c r="A23" s="380"/>
      <c r="B23" s="376"/>
      <c r="C23" s="377"/>
      <c r="D23" s="378"/>
      <c r="E23" s="409"/>
    </row>
    <row r="24" spans="1:5" ht="12.75">
      <c r="A24" s="375" t="s">
        <v>1042</v>
      </c>
      <c r="B24" s="376"/>
      <c r="C24" s="377"/>
      <c r="D24" s="378"/>
      <c r="E24" s="409"/>
    </row>
    <row r="25" spans="1:5" ht="12.75">
      <c r="A25" s="380" t="s">
        <v>1043</v>
      </c>
      <c r="B25" s="376">
        <v>9345</v>
      </c>
      <c r="C25" s="377">
        <v>9345</v>
      </c>
      <c r="D25" s="378">
        <v>9345</v>
      </c>
      <c r="E25" s="409"/>
    </row>
    <row r="26" spans="1:5" ht="12.75">
      <c r="A26" s="380" t="s">
        <v>1044</v>
      </c>
      <c r="B26" s="376">
        <v>10035</v>
      </c>
      <c r="C26" s="377">
        <v>10035</v>
      </c>
      <c r="D26" s="378">
        <v>10035</v>
      </c>
      <c r="E26" s="409">
        <v>10035</v>
      </c>
    </row>
    <row r="27" spans="1:5" ht="12.75">
      <c r="A27" s="380" t="s">
        <v>1045</v>
      </c>
      <c r="B27" s="376">
        <v>301568</v>
      </c>
      <c r="C27" s="377">
        <v>301568</v>
      </c>
      <c r="D27" s="378">
        <v>0</v>
      </c>
      <c r="E27" s="409"/>
    </row>
    <row r="28" spans="1:5" ht="12.75">
      <c r="A28" s="380" t="s">
        <v>1011</v>
      </c>
      <c r="B28" s="376">
        <v>34677</v>
      </c>
      <c r="C28" s="377">
        <v>34677</v>
      </c>
      <c r="D28" s="378">
        <v>56274</v>
      </c>
      <c r="E28" s="409">
        <v>56274</v>
      </c>
    </row>
    <row r="29" spans="1:5" ht="25.5">
      <c r="A29" s="384" t="s">
        <v>1046</v>
      </c>
      <c r="B29" s="376">
        <v>435200</v>
      </c>
      <c r="C29" s="377">
        <v>435200</v>
      </c>
      <c r="D29" s="378">
        <v>0</v>
      </c>
      <c r="E29" s="409"/>
    </row>
    <row r="30" spans="1:5" ht="25.5">
      <c r="A30" s="384" t="s">
        <v>1047</v>
      </c>
      <c r="B30" s="376">
        <v>312406</v>
      </c>
      <c r="C30" s="377">
        <v>312406</v>
      </c>
      <c r="D30" s="378">
        <v>33304</v>
      </c>
      <c r="E30" s="409">
        <v>19241</v>
      </c>
    </row>
    <row r="31" spans="1:5" ht="12.75">
      <c r="A31" s="384" t="s">
        <v>1048</v>
      </c>
      <c r="B31" s="376"/>
      <c r="C31" s="377"/>
      <c r="D31" s="378">
        <v>4403</v>
      </c>
      <c r="E31" s="409">
        <v>4403</v>
      </c>
    </row>
    <row r="32" spans="1:5" ht="12.75">
      <c r="A32" s="384" t="s">
        <v>1049</v>
      </c>
      <c r="B32" s="376"/>
      <c r="C32" s="377"/>
      <c r="D32" s="378">
        <v>969</v>
      </c>
      <c r="E32" s="409"/>
    </row>
    <row r="33" spans="1:5" ht="25.5">
      <c r="A33" s="384" t="s">
        <v>1050</v>
      </c>
      <c r="B33" s="376"/>
      <c r="C33" s="377"/>
      <c r="D33" s="378">
        <v>1673</v>
      </c>
      <c r="E33" s="409">
        <v>1673</v>
      </c>
    </row>
    <row r="34" spans="1:5" s="383" customFormat="1" ht="12.75">
      <c r="A34" s="375" t="s">
        <v>1041</v>
      </c>
      <c r="B34" s="381">
        <f>SUM(B25:B30)</f>
        <v>1103231</v>
      </c>
      <c r="C34" s="385">
        <f>SUM(C25:C30)</f>
        <v>1103231</v>
      </c>
      <c r="D34" s="382">
        <f>SUM(D25:D33)</f>
        <v>116003</v>
      </c>
      <c r="E34" s="410">
        <f>SUM(E25:E33)</f>
        <v>91626</v>
      </c>
    </row>
    <row r="35" spans="1:5" ht="12.75">
      <c r="A35" s="380"/>
      <c r="B35" s="376"/>
      <c r="C35" s="377"/>
      <c r="D35" s="378"/>
      <c r="E35" s="409"/>
    </row>
    <row r="36" spans="1:5" ht="12.75">
      <c r="A36" s="375" t="s">
        <v>1051</v>
      </c>
      <c r="B36" s="376"/>
      <c r="C36" s="377"/>
      <c r="D36" s="378"/>
      <c r="E36" s="409"/>
    </row>
    <row r="37" spans="1:5" ht="12.75">
      <c r="A37" s="380" t="s">
        <v>1052</v>
      </c>
      <c r="B37" s="376">
        <v>8700</v>
      </c>
      <c r="C37" s="377">
        <v>8700</v>
      </c>
      <c r="D37" s="378">
        <v>8700</v>
      </c>
      <c r="E37" s="409"/>
    </row>
    <row r="38" spans="1:5" ht="25.5">
      <c r="A38" s="384" t="s">
        <v>1053</v>
      </c>
      <c r="B38" s="376">
        <v>600</v>
      </c>
      <c r="C38" s="377">
        <v>600</v>
      </c>
      <c r="D38" s="378">
        <v>600</v>
      </c>
      <c r="E38" s="409">
        <v>800</v>
      </c>
    </row>
    <row r="39" spans="1:5" ht="12.75">
      <c r="A39" s="384" t="s">
        <v>1054</v>
      </c>
      <c r="B39" s="376"/>
      <c r="C39" s="377"/>
      <c r="D39" s="378">
        <v>361</v>
      </c>
      <c r="E39" s="409"/>
    </row>
    <row r="40" spans="1:5" ht="12.75">
      <c r="A40" s="384" t="s">
        <v>1110</v>
      </c>
      <c r="B40" s="376"/>
      <c r="C40" s="377"/>
      <c r="D40" s="378"/>
      <c r="E40" s="409">
        <v>1015</v>
      </c>
    </row>
    <row r="41" spans="1:5" s="383" customFormat="1" ht="12.75">
      <c r="A41" s="375" t="s">
        <v>1041</v>
      </c>
      <c r="B41" s="381">
        <f>SUM(B37:B38)</f>
        <v>9300</v>
      </c>
      <c r="C41" s="382">
        <f>SUM(C37:C38)</f>
        <v>9300</v>
      </c>
      <c r="D41" s="382">
        <f>SUM(D37:D38:D39)</f>
        <v>9661</v>
      </c>
      <c r="E41" s="410">
        <f>SUM(E37:E40)</f>
        <v>1815</v>
      </c>
    </row>
    <row r="42" spans="1:5" ht="12.75">
      <c r="A42" s="380"/>
      <c r="B42" s="376"/>
      <c r="C42" s="377"/>
      <c r="D42" s="378"/>
      <c r="E42" s="409"/>
    </row>
    <row r="43" spans="1:5" ht="12.75">
      <c r="A43" s="375" t="s">
        <v>1055</v>
      </c>
      <c r="B43" s="376"/>
      <c r="C43" s="377"/>
      <c r="D43" s="378"/>
      <c r="E43" s="409"/>
    </row>
    <row r="44" spans="1:5" ht="12.75">
      <c r="A44" s="380" t="s">
        <v>1056</v>
      </c>
      <c r="B44" s="376">
        <v>1200</v>
      </c>
      <c r="C44" s="377">
        <v>1200</v>
      </c>
      <c r="D44" s="378">
        <v>1200</v>
      </c>
      <c r="E44" s="409">
        <v>953</v>
      </c>
    </row>
    <row r="45" spans="1:5" ht="12.75">
      <c r="A45" s="380" t="s">
        <v>1093</v>
      </c>
      <c r="B45" s="376">
        <v>10000</v>
      </c>
      <c r="C45" s="377">
        <v>10000</v>
      </c>
      <c r="D45" s="378">
        <v>5000</v>
      </c>
      <c r="E45" s="409">
        <v>5000</v>
      </c>
    </row>
    <row r="46" spans="1:5" ht="12.75">
      <c r="A46" s="380" t="s">
        <v>1094</v>
      </c>
      <c r="B46" s="376"/>
      <c r="C46" s="377"/>
      <c r="D46" s="378">
        <v>101</v>
      </c>
      <c r="E46" s="409"/>
    </row>
    <row r="47" spans="1:5" s="383" customFormat="1" ht="12.75">
      <c r="A47" s="375" t="s">
        <v>1041</v>
      </c>
      <c r="B47" s="381">
        <f>SUM(B44:B45)</f>
        <v>11200</v>
      </c>
      <c r="C47" s="382">
        <f>SUM(C44:C45)</f>
        <v>11200</v>
      </c>
      <c r="D47" s="382">
        <f>SUM(D44:D46)</f>
        <v>6301</v>
      </c>
      <c r="E47" s="410">
        <f>SUM(E44:E46)</f>
        <v>5953</v>
      </c>
    </row>
    <row r="48" spans="1:5" ht="12.75">
      <c r="A48" s="380"/>
      <c r="B48" s="376"/>
      <c r="C48" s="377"/>
      <c r="D48" s="378"/>
      <c r="E48" s="409"/>
    </row>
    <row r="49" spans="1:5" ht="13.5" thickBot="1">
      <c r="A49" s="386" t="s">
        <v>1095</v>
      </c>
      <c r="B49" s="387">
        <f>SUM(B22,B34,B41,B47)</f>
        <v>1231674</v>
      </c>
      <c r="C49" s="388">
        <f>SUM(C22,C34,C41,C47)</f>
        <v>1231674</v>
      </c>
      <c r="D49" s="388">
        <f>SUM(D22,D34,D41,D47)</f>
        <v>262122</v>
      </c>
      <c r="E49" s="411">
        <f>SUM(E22+E34+E41+E47)</f>
        <v>233047</v>
      </c>
    </row>
    <row r="51" spans="1:3" ht="12.75">
      <c r="A51" s="390"/>
      <c r="B51" s="391"/>
      <c r="C51" s="391"/>
    </row>
    <row r="52" spans="1:5" ht="12.75">
      <c r="A52" s="1469" t="s">
        <v>1096</v>
      </c>
      <c r="B52" s="1469"/>
      <c r="C52" s="1469"/>
      <c r="D52" s="1469"/>
      <c r="E52" s="1469"/>
    </row>
    <row r="53" spans="1:5" ht="12.75">
      <c r="A53" s="1469" t="s">
        <v>1097</v>
      </c>
      <c r="B53" s="1469"/>
      <c r="C53" s="1469"/>
      <c r="D53" s="1469"/>
      <c r="E53" s="1469"/>
    </row>
    <row r="54" spans="1:5" ht="12.75">
      <c r="A54" s="1470" t="s">
        <v>1026</v>
      </c>
      <c r="B54" s="1470"/>
      <c r="C54" s="1470"/>
      <c r="D54" s="1470"/>
      <c r="E54" s="1470"/>
    </row>
    <row r="55" ht="13.5" thickBot="1">
      <c r="A55" s="392"/>
    </row>
    <row r="56" spans="1:5" ht="13.5" thickBot="1">
      <c r="A56" s="365" t="s">
        <v>873</v>
      </c>
      <c r="B56" s="366" t="s">
        <v>753</v>
      </c>
      <c r="C56" s="367" t="s">
        <v>1027</v>
      </c>
      <c r="D56" s="368" t="s">
        <v>550</v>
      </c>
      <c r="E56" s="369" t="s">
        <v>535</v>
      </c>
    </row>
    <row r="57" spans="1:5" ht="12.75">
      <c r="A57" s="394"/>
      <c r="B57" s="395"/>
      <c r="C57" s="396"/>
      <c r="D57" s="373"/>
      <c r="E57" s="379"/>
    </row>
    <row r="58" spans="1:5" ht="12.75">
      <c r="A58" s="375" t="s">
        <v>1042</v>
      </c>
      <c r="B58" s="397"/>
      <c r="C58" s="397"/>
      <c r="D58" s="378"/>
      <c r="E58" s="379"/>
    </row>
    <row r="59" spans="1:5" ht="12.75">
      <c r="A59" s="380" t="s">
        <v>1098</v>
      </c>
      <c r="B59" s="376">
        <v>90000</v>
      </c>
      <c r="C59" s="376">
        <v>0</v>
      </c>
      <c r="D59" s="378">
        <v>0</v>
      </c>
      <c r="E59" s="379"/>
    </row>
    <row r="60" spans="1:5" ht="12.75">
      <c r="A60" s="380" t="s">
        <v>1099</v>
      </c>
      <c r="B60" s="376">
        <v>675316</v>
      </c>
      <c r="C60" s="376">
        <v>675316</v>
      </c>
      <c r="D60" s="378">
        <v>0</v>
      </c>
      <c r="E60" s="379"/>
    </row>
    <row r="61" spans="1:5" ht="12.75">
      <c r="A61" s="384" t="s">
        <v>1100</v>
      </c>
      <c r="B61" s="376">
        <v>99780</v>
      </c>
      <c r="C61" s="376">
        <v>99780</v>
      </c>
      <c r="D61" s="378">
        <v>0</v>
      </c>
      <c r="E61" s="379"/>
    </row>
    <row r="62" spans="1:5" ht="12.75">
      <c r="A62" s="384" t="s">
        <v>1101</v>
      </c>
      <c r="B62" s="376">
        <v>90625</v>
      </c>
      <c r="C62" s="376">
        <v>90625</v>
      </c>
      <c r="D62" s="378">
        <v>0</v>
      </c>
      <c r="E62" s="379"/>
    </row>
    <row r="63" spans="1:5" ht="15.75" customHeight="1">
      <c r="A63" s="384" t="s">
        <v>1050</v>
      </c>
      <c r="B63" s="376">
        <v>13069</v>
      </c>
      <c r="C63" s="376">
        <v>13069</v>
      </c>
      <c r="D63" s="378">
        <v>0</v>
      </c>
      <c r="E63" s="379"/>
    </row>
    <row r="64" spans="1:5" ht="12.75">
      <c r="A64" s="384" t="s">
        <v>1049</v>
      </c>
      <c r="B64" s="376">
        <v>49969</v>
      </c>
      <c r="C64" s="376">
        <v>49969</v>
      </c>
      <c r="D64" s="378">
        <v>0</v>
      </c>
      <c r="E64" s="379"/>
    </row>
    <row r="65" spans="1:5" ht="12.75">
      <c r="A65" s="384" t="s">
        <v>1102</v>
      </c>
      <c r="B65" s="376">
        <v>148862</v>
      </c>
      <c r="C65" s="376">
        <v>0</v>
      </c>
      <c r="D65" s="378">
        <v>0</v>
      </c>
      <c r="E65" s="379"/>
    </row>
    <row r="66" spans="1:5" ht="25.5">
      <c r="A66" s="384" t="s">
        <v>1103</v>
      </c>
      <c r="B66" s="376">
        <v>283422</v>
      </c>
      <c r="C66" s="376">
        <v>283422</v>
      </c>
      <c r="D66" s="378">
        <v>0</v>
      </c>
      <c r="E66" s="379"/>
    </row>
    <row r="67" spans="1:5" ht="25.5">
      <c r="A67" s="384" t="s">
        <v>1104</v>
      </c>
      <c r="B67" s="376">
        <v>95000</v>
      </c>
      <c r="C67" s="376">
        <v>95000</v>
      </c>
      <c r="D67" s="378">
        <v>0</v>
      </c>
      <c r="E67" s="379"/>
    </row>
    <row r="68" spans="1:5" ht="12.75">
      <c r="A68" s="380" t="s">
        <v>1106</v>
      </c>
      <c r="B68" s="376">
        <v>42600</v>
      </c>
      <c r="C68" s="376">
        <v>42600</v>
      </c>
      <c r="D68" s="378">
        <v>0</v>
      </c>
      <c r="E68" s="379"/>
    </row>
    <row r="69" spans="1:5" ht="12.75">
      <c r="A69" s="398"/>
      <c r="B69" s="376"/>
      <c r="C69" s="376"/>
      <c r="D69" s="378"/>
      <c r="E69" s="379"/>
    </row>
    <row r="70" spans="1:5" s="383" customFormat="1" ht="13.5" thickBot="1">
      <c r="A70" s="399" t="s">
        <v>1041</v>
      </c>
      <c r="B70" s="400">
        <f>SUM(B59:B68)</f>
        <v>1588643</v>
      </c>
      <c r="C70" s="400">
        <f>SUM(C59:C68)</f>
        <v>1349781</v>
      </c>
      <c r="D70" s="401">
        <f>SUM(D59:D68)</f>
        <v>0</v>
      </c>
      <c r="E70" s="402"/>
    </row>
    <row r="71" ht="12.75">
      <c r="A71" s="392"/>
    </row>
    <row r="72" ht="12.75">
      <c r="A72" s="392"/>
    </row>
    <row r="73" spans="1:5" ht="12.75">
      <c r="A73" s="1471" t="s">
        <v>1107</v>
      </c>
      <c r="B73" s="1471"/>
      <c r="C73" s="1471"/>
      <c r="D73" s="1471"/>
      <c r="E73" s="1471"/>
    </row>
    <row r="74" spans="1:5" ht="12.75">
      <c r="A74" s="1471" t="s">
        <v>1025</v>
      </c>
      <c r="B74" s="1471"/>
      <c r="C74" s="1471"/>
      <c r="D74" s="1471"/>
      <c r="E74" s="1471"/>
    </row>
    <row r="75" spans="1:5" ht="12.75">
      <c r="A75" s="1471" t="s">
        <v>1026</v>
      </c>
      <c r="B75" s="1471"/>
      <c r="C75" s="1471"/>
      <c r="D75" s="1471"/>
      <c r="E75" s="1471"/>
    </row>
    <row r="76" spans="1:3" ht="13.5" thickBot="1">
      <c r="A76" s="403"/>
      <c r="B76" s="364"/>
      <c r="C76" s="364"/>
    </row>
    <row r="77" spans="1:5" ht="13.5" thickBot="1">
      <c r="A77" s="365" t="s">
        <v>873</v>
      </c>
      <c r="B77" s="366" t="s">
        <v>753</v>
      </c>
      <c r="C77" s="404" t="s">
        <v>1027</v>
      </c>
      <c r="D77" s="368" t="s">
        <v>550</v>
      </c>
      <c r="E77" s="369" t="s">
        <v>535</v>
      </c>
    </row>
    <row r="78" spans="1:5" ht="12.75">
      <c r="A78" s="370"/>
      <c r="B78" s="371"/>
      <c r="C78" s="405"/>
      <c r="D78" s="373"/>
      <c r="E78" s="412"/>
    </row>
    <row r="79" spans="1:5" ht="12.75">
      <c r="A79" s="375" t="s">
        <v>800</v>
      </c>
      <c r="B79" s="376"/>
      <c r="C79" s="378"/>
      <c r="D79" s="378"/>
      <c r="E79" s="409"/>
    </row>
    <row r="80" spans="1:5" ht="12.75">
      <c r="A80" s="380" t="s">
        <v>1108</v>
      </c>
      <c r="B80" s="376">
        <v>12740</v>
      </c>
      <c r="C80" s="378">
        <v>12740</v>
      </c>
      <c r="D80" s="378">
        <v>12740</v>
      </c>
      <c r="E80" s="409">
        <v>12740</v>
      </c>
    </row>
    <row r="81" spans="1:5" ht="12.75">
      <c r="A81" s="406" t="s">
        <v>1041</v>
      </c>
      <c r="B81" s="381">
        <f>SUM(B80)</f>
        <v>12740</v>
      </c>
      <c r="C81" s="382">
        <f>SUM(C80)</f>
        <v>12740</v>
      </c>
      <c r="D81" s="382">
        <f>SUM(D80)</f>
        <v>12740</v>
      </c>
      <c r="E81" s="410">
        <v>12740</v>
      </c>
    </row>
    <row r="82" spans="1:5" ht="12.75">
      <c r="A82" s="407"/>
      <c r="B82" s="376"/>
      <c r="C82" s="378"/>
      <c r="D82" s="378"/>
      <c r="E82" s="409"/>
    </row>
    <row r="83" spans="1:5" ht="13.5" thickBot="1">
      <c r="A83" s="408" t="s">
        <v>1095</v>
      </c>
      <c r="B83" s="387">
        <f>SUM(B81)</f>
        <v>12740</v>
      </c>
      <c r="C83" s="387">
        <f>SUM(C81)</f>
        <v>12740</v>
      </c>
      <c r="D83" s="388">
        <f>SUM(D81)</f>
        <v>12740</v>
      </c>
      <c r="E83" s="414">
        <v>12740</v>
      </c>
    </row>
    <row r="84" spans="1:3" ht="12.75">
      <c r="A84" s="403"/>
      <c r="B84" s="364"/>
      <c r="C84" s="364"/>
    </row>
    <row r="85" spans="1:3" ht="12.75">
      <c r="A85" s="403"/>
      <c r="B85" s="364"/>
      <c r="C85" s="364"/>
    </row>
    <row r="86" ht="12.75">
      <c r="A86" s="392"/>
    </row>
    <row r="87" ht="12.75">
      <c r="A87" s="392"/>
    </row>
    <row r="88" ht="12.75">
      <c r="A88" s="392"/>
    </row>
    <row r="89" ht="12.75">
      <c r="A89" s="392"/>
    </row>
    <row r="90" ht="12.75">
      <c r="A90" s="392"/>
    </row>
    <row r="91" ht="12.75">
      <c r="A91" s="392"/>
    </row>
    <row r="92" ht="12.75">
      <c r="A92" s="392"/>
    </row>
    <row r="93" ht="12.75">
      <c r="A93" s="392"/>
    </row>
    <row r="94" ht="12.75">
      <c r="A94" s="392"/>
    </row>
    <row r="95" ht="12.75">
      <c r="A95" s="392"/>
    </row>
    <row r="96" ht="12.75">
      <c r="A96" s="392"/>
    </row>
    <row r="97" ht="12.75">
      <c r="A97" s="392"/>
    </row>
    <row r="98" ht="12.75">
      <c r="A98" s="392"/>
    </row>
    <row r="99" ht="12.75">
      <c r="A99" s="392"/>
    </row>
    <row r="100" ht="12.75">
      <c r="A100" s="392"/>
    </row>
    <row r="101" ht="12.75">
      <c r="A101" s="392"/>
    </row>
    <row r="102" ht="12.75">
      <c r="A102" s="392"/>
    </row>
    <row r="103" ht="12.75">
      <c r="A103" s="392"/>
    </row>
    <row r="104" ht="12.75">
      <c r="A104" s="392"/>
    </row>
    <row r="105" ht="12.75">
      <c r="A105" s="392"/>
    </row>
    <row r="106" ht="12.75">
      <c r="A106" s="392"/>
    </row>
    <row r="107" ht="12.75">
      <c r="A107" s="392"/>
    </row>
    <row r="108" ht="12.75">
      <c r="A108" s="392"/>
    </row>
    <row r="109" ht="12.75">
      <c r="A109" s="392"/>
    </row>
    <row r="110" ht="12.75">
      <c r="A110" s="392"/>
    </row>
    <row r="111" ht="12.75">
      <c r="A111" s="392"/>
    </row>
    <row r="112" ht="12.75">
      <c r="A112" s="392"/>
    </row>
    <row r="113" ht="12.75">
      <c r="A113" s="392"/>
    </row>
    <row r="114" ht="12.75">
      <c r="A114" s="392"/>
    </row>
    <row r="115" ht="12.75">
      <c r="A115" s="392"/>
    </row>
    <row r="116" ht="12.75">
      <c r="A116" s="392"/>
    </row>
    <row r="117" ht="12.75">
      <c r="A117" s="392"/>
    </row>
    <row r="118" ht="12.75">
      <c r="A118" s="392"/>
    </row>
    <row r="119" ht="12.75">
      <c r="A119" s="392"/>
    </row>
  </sheetData>
  <mergeCells count="9">
    <mergeCell ref="A75:E75"/>
    <mergeCell ref="A53:E53"/>
    <mergeCell ref="A54:E54"/>
    <mergeCell ref="A73:E73"/>
    <mergeCell ref="A74:E74"/>
    <mergeCell ref="A1:E1"/>
    <mergeCell ref="A2:E2"/>
    <mergeCell ref="A3:E3"/>
    <mergeCell ref="A52:E52"/>
  </mergeCells>
  <printOptions horizontalCentered="1"/>
  <pageMargins left="0.3937007874015748" right="0.3937007874015748" top="0.72" bottom="0.53" header="0.3937007874015748" footer="0.5118110236220472"/>
  <pageSetup horizontalDpi="600" verticalDpi="600" orientation="portrait" paperSize="9" scale="71" r:id="rId1"/>
  <headerFooter alignWithMargins="0">
    <oddHeader>&amp;L11. melléklet a 14/2013.(V.2.) önkormányzati rendelethez
</oddHeader>
  </headerFooter>
  <rowBreaks count="1" manualBreakCount="1">
    <brk id="71" max="4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workbookViewId="0" topLeftCell="A1">
      <selection activeCell="B18" sqref="B18"/>
    </sheetView>
  </sheetViews>
  <sheetFormatPr defaultColWidth="9.00390625" defaultRowHeight="12.75"/>
  <cols>
    <col min="1" max="1" width="46.875" style="452" customWidth="1"/>
    <col min="2" max="2" width="16.75390625" style="452" customWidth="1"/>
    <col min="3" max="3" width="12.875" style="452" customWidth="1"/>
    <col min="4" max="4" width="15.625" style="452" customWidth="1"/>
    <col min="5" max="16384" width="9.125" style="452" customWidth="1"/>
  </cols>
  <sheetData>
    <row r="1" ht="12.75">
      <c r="A1" s="451"/>
    </row>
    <row r="2" ht="15.75">
      <c r="A2" s="453"/>
    </row>
    <row r="3" spans="1:4" ht="15" customHeight="1">
      <c r="A3" s="1474" t="s">
        <v>1191</v>
      </c>
      <c r="B3" s="1474"/>
      <c r="C3" s="1474"/>
      <c r="D3" s="1474"/>
    </row>
    <row r="4" spans="1:2" ht="14.25" customHeight="1" thickBot="1">
      <c r="A4" s="454"/>
      <c r="B4" s="455"/>
    </row>
    <row r="5" spans="1:4" ht="22.5" customHeight="1" thickBot="1">
      <c r="A5" s="1472" t="s">
        <v>1192</v>
      </c>
      <c r="B5" s="1331" t="s">
        <v>1193</v>
      </c>
      <c r="C5" s="1340"/>
      <c r="D5" s="1333"/>
    </row>
    <row r="6" spans="1:4" ht="15" customHeight="1" thickBot="1">
      <c r="A6" s="1473"/>
      <c r="B6" s="1230" t="s">
        <v>753</v>
      </c>
      <c r="C6" s="456" t="s">
        <v>550</v>
      </c>
      <c r="D6" s="457" t="s">
        <v>535</v>
      </c>
    </row>
    <row r="7" spans="1:4" ht="15" customHeight="1">
      <c r="A7" s="458" t="s">
        <v>766</v>
      </c>
      <c r="B7" s="459">
        <v>20</v>
      </c>
      <c r="C7" s="460">
        <v>20</v>
      </c>
      <c r="D7" s="501">
        <v>20</v>
      </c>
    </row>
    <row r="8" spans="1:4" ht="15" customHeight="1">
      <c r="A8" s="458" t="s">
        <v>751</v>
      </c>
      <c r="B8" s="459">
        <v>7</v>
      </c>
      <c r="C8" s="461">
        <v>7</v>
      </c>
      <c r="D8" s="502">
        <v>7</v>
      </c>
    </row>
    <row r="9" spans="1:4" ht="15" customHeight="1">
      <c r="A9" s="458" t="s">
        <v>767</v>
      </c>
      <c r="B9" s="459">
        <v>16.25</v>
      </c>
      <c r="C9" s="461">
        <v>16.25</v>
      </c>
      <c r="D9" s="502">
        <v>16</v>
      </c>
    </row>
    <row r="10" spans="1:4" ht="15" customHeight="1">
      <c r="A10" s="458" t="s">
        <v>1194</v>
      </c>
      <c r="B10" s="459">
        <v>21</v>
      </c>
      <c r="C10" s="461">
        <v>21</v>
      </c>
      <c r="D10" s="502">
        <v>21</v>
      </c>
    </row>
    <row r="11" spans="1:4" ht="15" customHeight="1">
      <c r="A11" s="458" t="s">
        <v>794</v>
      </c>
      <c r="B11" s="459">
        <v>15.5</v>
      </c>
      <c r="C11" s="461">
        <v>15.5</v>
      </c>
      <c r="D11" s="502">
        <v>16</v>
      </c>
    </row>
    <row r="12" spans="1:4" ht="15" customHeight="1">
      <c r="A12" s="458" t="s">
        <v>729</v>
      </c>
      <c r="B12" s="459">
        <v>14</v>
      </c>
      <c r="C12" s="461">
        <v>14</v>
      </c>
      <c r="D12" s="502">
        <v>14</v>
      </c>
    </row>
    <row r="13" spans="1:4" ht="15" customHeight="1">
      <c r="A13" s="458" t="s">
        <v>795</v>
      </c>
      <c r="B13" s="459">
        <v>3.5</v>
      </c>
      <c r="C13" s="461">
        <v>3.5</v>
      </c>
      <c r="D13" s="502">
        <v>3</v>
      </c>
    </row>
    <row r="14" spans="1:4" ht="15" customHeight="1">
      <c r="A14" s="458" t="s">
        <v>1195</v>
      </c>
      <c r="B14" s="459">
        <v>32</v>
      </c>
      <c r="C14" s="461">
        <v>32</v>
      </c>
      <c r="D14" s="502">
        <v>31</v>
      </c>
    </row>
    <row r="15" spans="1:4" ht="15" customHeight="1">
      <c r="A15" s="458" t="s">
        <v>742</v>
      </c>
      <c r="B15" s="459">
        <v>60.5</v>
      </c>
      <c r="C15" s="461">
        <v>62.5</v>
      </c>
      <c r="D15" s="502">
        <v>60</v>
      </c>
    </row>
    <row r="16" spans="1:4" ht="15" customHeight="1">
      <c r="A16" s="458" t="s">
        <v>1196</v>
      </c>
      <c r="B16" s="459">
        <v>22</v>
      </c>
      <c r="C16" s="461">
        <v>22</v>
      </c>
      <c r="D16" s="502">
        <v>21</v>
      </c>
    </row>
    <row r="17" spans="1:4" ht="15" customHeight="1">
      <c r="A17" s="458" t="s">
        <v>1197</v>
      </c>
      <c r="B17" s="459">
        <v>77.5</v>
      </c>
      <c r="C17" s="461">
        <v>78.5</v>
      </c>
      <c r="D17" s="502">
        <v>76</v>
      </c>
    </row>
    <row r="18" spans="1:4" ht="15" customHeight="1">
      <c r="A18" s="458" t="s">
        <v>1198</v>
      </c>
      <c r="B18" s="459">
        <v>20</v>
      </c>
      <c r="C18" s="461">
        <v>20</v>
      </c>
      <c r="D18" s="502">
        <v>18</v>
      </c>
    </row>
    <row r="19" spans="1:4" ht="15" customHeight="1">
      <c r="A19" s="458" t="s">
        <v>1199</v>
      </c>
      <c r="B19" s="459">
        <v>13</v>
      </c>
      <c r="C19" s="461">
        <v>13</v>
      </c>
      <c r="D19" s="502">
        <v>12</v>
      </c>
    </row>
    <row r="20" spans="1:4" ht="15" customHeight="1">
      <c r="A20" s="458" t="s">
        <v>1200</v>
      </c>
      <c r="B20" s="459">
        <v>23</v>
      </c>
      <c r="C20" s="461">
        <v>32.5</v>
      </c>
      <c r="D20" s="502">
        <v>21</v>
      </c>
    </row>
    <row r="21" spans="1:4" ht="15.75" customHeight="1">
      <c r="A21" s="458" t="s">
        <v>1201</v>
      </c>
      <c r="B21" s="459">
        <v>9.5</v>
      </c>
      <c r="C21" s="461">
        <v>9.5</v>
      </c>
      <c r="D21" s="502">
        <v>11</v>
      </c>
    </row>
    <row r="22" spans="1:4" ht="15" customHeight="1">
      <c r="A22" s="463" t="s">
        <v>730</v>
      </c>
      <c r="B22" s="464">
        <v>53.5</v>
      </c>
      <c r="C22" s="461">
        <v>53.5</v>
      </c>
      <c r="D22" s="502">
        <v>53</v>
      </c>
    </row>
    <row r="23" spans="1:4" ht="15" customHeight="1">
      <c r="A23" s="458" t="s">
        <v>1202</v>
      </c>
      <c r="B23" s="459">
        <v>10</v>
      </c>
      <c r="C23" s="461">
        <v>10</v>
      </c>
      <c r="D23" s="502">
        <v>10</v>
      </c>
    </row>
    <row r="24" spans="1:4" ht="15" customHeight="1">
      <c r="A24" s="465" t="s">
        <v>1203</v>
      </c>
      <c r="B24" s="466">
        <f>SUM(B7:B23)</f>
        <v>418.25</v>
      </c>
      <c r="C24" s="461">
        <v>430.75</v>
      </c>
      <c r="D24" s="502">
        <f>SUM(D7:D23)</f>
        <v>410</v>
      </c>
    </row>
    <row r="25" spans="1:4" ht="15" customHeight="1" thickBot="1">
      <c r="A25" s="467" t="s">
        <v>17</v>
      </c>
      <c r="B25" s="468">
        <v>200</v>
      </c>
      <c r="C25" s="469"/>
      <c r="D25" s="503"/>
    </row>
    <row r="26" spans="1:4" ht="15" customHeight="1">
      <c r="A26" s="470" t="s">
        <v>18</v>
      </c>
      <c r="B26" s="471">
        <f>SUM(B24:B25)</f>
        <v>618.25</v>
      </c>
      <c r="C26" s="472">
        <f>SUM(C24:C25)</f>
        <v>430.75</v>
      </c>
      <c r="D26" s="711">
        <v>410</v>
      </c>
    </row>
    <row r="27" spans="1:4" ht="15" customHeight="1">
      <c r="A27" s="458"/>
      <c r="B27" s="459"/>
      <c r="C27" s="473"/>
      <c r="D27" s="502"/>
    </row>
    <row r="28" spans="1:4" ht="15" customHeight="1">
      <c r="A28" s="458" t="s">
        <v>19</v>
      </c>
      <c r="B28" s="459"/>
      <c r="C28" s="473"/>
      <c r="D28" s="502"/>
    </row>
    <row r="29" spans="1:4" ht="15" customHeight="1">
      <c r="A29" s="458" t="s">
        <v>20</v>
      </c>
      <c r="B29" s="459">
        <v>82</v>
      </c>
      <c r="C29" s="461">
        <v>82</v>
      </c>
      <c r="D29" s="502">
        <v>79</v>
      </c>
    </row>
    <row r="30" spans="1:4" ht="15" customHeight="1" thickBot="1">
      <c r="A30" s="458" t="s">
        <v>21</v>
      </c>
      <c r="B30" s="474">
        <v>3</v>
      </c>
      <c r="C30" s="475">
        <v>3</v>
      </c>
      <c r="D30" s="503">
        <v>3</v>
      </c>
    </row>
    <row r="31" spans="1:4" ht="15" customHeight="1">
      <c r="A31" s="470" t="s">
        <v>22</v>
      </c>
      <c r="B31" s="476">
        <f>SUM(B29:B30)</f>
        <v>85</v>
      </c>
      <c r="C31" s="477">
        <f>SUM(C29:C30)</f>
        <v>85</v>
      </c>
      <c r="D31" s="506">
        <f>SUM(D29:D30)</f>
        <v>82</v>
      </c>
    </row>
    <row r="32" spans="1:4" ht="15" customHeight="1">
      <c r="A32" s="458"/>
      <c r="B32" s="474"/>
      <c r="C32" s="478"/>
      <c r="D32" s="502"/>
    </row>
    <row r="33" spans="1:4" ht="15" customHeight="1" thickBot="1">
      <c r="A33" s="458" t="s">
        <v>23</v>
      </c>
      <c r="B33" s="479">
        <v>3</v>
      </c>
      <c r="C33" s="475">
        <v>3</v>
      </c>
      <c r="D33" s="503">
        <v>3</v>
      </c>
    </row>
    <row r="34" spans="1:4" s="480" customFormat="1" ht="15" customHeight="1">
      <c r="A34" s="470" t="s">
        <v>24</v>
      </c>
      <c r="B34" s="471">
        <f>SUM(B33)</f>
        <v>3</v>
      </c>
      <c r="C34" s="472">
        <f>SUM(C33)</f>
        <v>3</v>
      </c>
      <c r="D34" s="504">
        <f>SUM(D33)</f>
        <v>3</v>
      </c>
    </row>
    <row r="35" spans="1:4" ht="15" customHeight="1" thickBot="1">
      <c r="A35" s="458"/>
      <c r="B35" s="479"/>
      <c r="C35" s="469"/>
      <c r="D35" s="503"/>
    </row>
    <row r="36" spans="1:4" ht="15" customHeight="1" thickBot="1">
      <c r="A36" s="481" t="s">
        <v>1095</v>
      </c>
      <c r="B36" s="482">
        <f>SUM(B26,B31,B34)</f>
        <v>706.25</v>
      </c>
      <c r="C36" s="483">
        <f>SUM(C26,C31,C34)</f>
        <v>518.75</v>
      </c>
      <c r="D36" s="505">
        <f>SUM(D26+D31+D34)</f>
        <v>495</v>
      </c>
    </row>
    <row r="37" spans="1:2" ht="18.75">
      <c r="A37" s="484"/>
      <c r="B37" s="485"/>
    </row>
    <row r="38" ht="15.75">
      <c r="A38" s="486"/>
    </row>
    <row r="39" spans="1:4" ht="12.75">
      <c r="A39" s="1475" t="s">
        <v>25</v>
      </c>
      <c r="B39" s="1475"/>
      <c r="C39" s="1475"/>
      <c r="D39" s="1475"/>
    </row>
    <row r="40" ht="13.5" thickBot="1"/>
    <row r="41" spans="1:4" ht="13.5" thickBot="1">
      <c r="A41" s="487" t="s">
        <v>873</v>
      </c>
      <c r="B41" s="488" t="s">
        <v>26</v>
      </c>
      <c r="C41" s="489" t="s">
        <v>550</v>
      </c>
      <c r="D41" s="457" t="s">
        <v>535</v>
      </c>
    </row>
    <row r="42" spans="1:4" ht="12.75">
      <c r="A42" s="490" t="s">
        <v>27</v>
      </c>
      <c r="B42" s="491">
        <v>30</v>
      </c>
      <c r="C42" s="492">
        <v>64</v>
      </c>
      <c r="D42" s="493">
        <v>61</v>
      </c>
    </row>
    <row r="43" spans="1:4" ht="13.5" thickBot="1">
      <c r="A43" s="494" t="s">
        <v>28</v>
      </c>
      <c r="B43" s="495">
        <v>34</v>
      </c>
      <c r="C43" s="469"/>
      <c r="D43" s="462"/>
    </row>
    <row r="44" spans="1:4" s="500" customFormat="1" ht="13.5" thickBot="1">
      <c r="A44" s="496" t="s">
        <v>1041</v>
      </c>
      <c r="B44" s="497">
        <f>SUM(B42:B43)</f>
        <v>64</v>
      </c>
      <c r="C44" s="498">
        <v>64</v>
      </c>
      <c r="D44" s="499">
        <v>61</v>
      </c>
    </row>
  </sheetData>
  <mergeCells count="4">
    <mergeCell ref="A5:A6"/>
    <mergeCell ref="B5:D5"/>
    <mergeCell ref="A3:D3"/>
    <mergeCell ref="A39:D39"/>
  </mergeCells>
  <printOptions horizontalCentered="1"/>
  <pageMargins left="0.15748031496062992" right="0.15748031496062992" top="0.76" bottom="0.984251968503937" header="0.39" footer="0.5118110236220472"/>
  <pageSetup horizontalDpi="600" verticalDpi="600" orientation="portrait" paperSize="9" r:id="rId1"/>
  <headerFooter alignWithMargins="0">
    <oddHeader>&amp;L&amp;8 12. melléklet a 14/2013.(V.2.) önkormányzati rendelethez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D44"/>
  <sheetViews>
    <sheetView view="pageBreakPreview" zoomScaleSheetLayoutView="100" workbookViewId="0" topLeftCell="A1">
      <selection activeCell="A15" sqref="A15"/>
    </sheetView>
  </sheetViews>
  <sheetFormatPr defaultColWidth="9.00390625" defaultRowHeight="12.75"/>
  <cols>
    <col min="1" max="1" width="79.875" style="323" customWidth="1"/>
    <col min="2" max="2" width="13.25390625" style="323" customWidth="1"/>
    <col min="3" max="3" width="11.875" style="323" customWidth="1"/>
    <col min="4" max="4" width="14.00390625" style="323" customWidth="1"/>
    <col min="5" max="16384" width="9.125" style="323" customWidth="1"/>
  </cols>
  <sheetData>
    <row r="1" ht="12.75">
      <c r="A1" s="322"/>
    </row>
    <row r="2" spans="1:2" ht="11.25" customHeight="1">
      <c r="A2" s="1476"/>
      <c r="B2" s="1476"/>
    </row>
    <row r="3" spans="1:2" ht="12.75">
      <c r="A3" s="1476" t="s">
        <v>959</v>
      </c>
      <c r="B3" s="1476"/>
    </row>
    <row r="4" spans="1:2" ht="12.75">
      <c r="A4" s="1476" t="s">
        <v>960</v>
      </c>
      <c r="B4" s="1476"/>
    </row>
    <row r="5" spans="1:2" ht="10.5" customHeight="1">
      <c r="A5" s="324"/>
      <c r="B5" s="324"/>
    </row>
    <row r="6" spans="1:2" ht="12.75">
      <c r="A6" s="1476" t="s">
        <v>961</v>
      </c>
      <c r="B6" s="1476"/>
    </row>
    <row r="7" spans="1:2" ht="12" customHeight="1" thickBot="1">
      <c r="A7" s="325"/>
      <c r="B7" s="325"/>
    </row>
    <row r="8" spans="1:4" ht="13.5" thickBot="1">
      <c r="A8" s="326" t="s">
        <v>873</v>
      </c>
      <c r="B8" s="327" t="s">
        <v>753</v>
      </c>
      <c r="C8" s="349" t="s">
        <v>550</v>
      </c>
      <c r="D8" s="328" t="s">
        <v>824</v>
      </c>
    </row>
    <row r="9" spans="1:4" ht="12.75">
      <c r="A9" s="329"/>
      <c r="B9" s="330"/>
      <c r="C9" s="350"/>
      <c r="D9" s="358"/>
    </row>
    <row r="10" spans="1:4" ht="12.75">
      <c r="A10" s="331" t="s">
        <v>962</v>
      </c>
      <c r="B10" s="332"/>
      <c r="C10" s="351"/>
      <c r="D10" s="356"/>
    </row>
    <row r="11" spans="1:4" ht="12.75">
      <c r="A11" s="331"/>
      <c r="B11" s="332"/>
      <c r="C11" s="351"/>
      <c r="D11" s="356"/>
    </row>
    <row r="12" spans="1:4" ht="12.75">
      <c r="A12" s="333" t="s">
        <v>963</v>
      </c>
      <c r="B12" s="334">
        <v>120000</v>
      </c>
      <c r="C12" s="351">
        <v>127503</v>
      </c>
      <c r="D12" s="356">
        <v>127503</v>
      </c>
    </row>
    <row r="13" spans="1:4" ht="12.75">
      <c r="A13" s="333" t="s">
        <v>964</v>
      </c>
      <c r="B13" s="334">
        <v>670</v>
      </c>
      <c r="C13" s="351">
        <v>4408</v>
      </c>
      <c r="D13" s="356">
        <v>4484</v>
      </c>
    </row>
    <row r="14" spans="1:4" ht="12.75">
      <c r="A14" s="333" t="s">
        <v>1021</v>
      </c>
      <c r="B14" s="334"/>
      <c r="C14" s="351"/>
      <c r="D14" s="356">
        <v>7177</v>
      </c>
    </row>
    <row r="15" spans="1:4" ht="12.75">
      <c r="A15" s="333" t="s">
        <v>965</v>
      </c>
      <c r="B15" s="334">
        <f>SUM(B16:B18)</f>
        <v>54057</v>
      </c>
      <c r="C15" s="351">
        <f>SUM(C16:C18)</f>
        <v>63377</v>
      </c>
      <c r="D15" s="356">
        <v>80886</v>
      </c>
    </row>
    <row r="16" spans="1:4" s="337" customFormat="1" ht="12.75">
      <c r="A16" s="335" t="s">
        <v>966</v>
      </c>
      <c r="B16" s="336">
        <v>34677</v>
      </c>
      <c r="C16" s="352">
        <v>43997</v>
      </c>
      <c r="D16" s="357">
        <v>70851</v>
      </c>
    </row>
    <row r="17" spans="1:4" s="337" customFormat="1" ht="12.75">
      <c r="A17" s="594" t="s">
        <v>80</v>
      </c>
      <c r="B17" s="336">
        <v>9345</v>
      </c>
      <c r="C17" s="352">
        <v>9345</v>
      </c>
      <c r="D17" s="357"/>
    </row>
    <row r="18" spans="1:4" s="337" customFormat="1" ht="12.75">
      <c r="A18" s="335" t="s">
        <v>967</v>
      </c>
      <c r="B18" s="336">
        <v>10035</v>
      </c>
      <c r="C18" s="352">
        <v>10035</v>
      </c>
      <c r="D18" s="357">
        <v>10035</v>
      </c>
    </row>
    <row r="19" spans="1:4" s="337" customFormat="1" ht="12.75">
      <c r="A19" s="335"/>
      <c r="B19" s="336"/>
      <c r="C19" s="352"/>
      <c r="D19" s="357"/>
    </row>
    <row r="20" spans="1:4" ht="12.75">
      <c r="A20" s="338" t="s">
        <v>968</v>
      </c>
      <c r="B20" s="339">
        <f>SUM(B12:B13,B15)</f>
        <v>174727</v>
      </c>
      <c r="C20" s="353">
        <f>SUM(C12+C13+C15)</f>
        <v>195288</v>
      </c>
      <c r="D20" s="359">
        <f>SUM(D12+D13+D14+D15)</f>
        <v>220050</v>
      </c>
    </row>
    <row r="21" spans="1:4" ht="12.75">
      <c r="A21" s="333"/>
      <c r="B21" s="340"/>
      <c r="C21" s="351"/>
      <c r="D21" s="356"/>
    </row>
    <row r="22" spans="1:4" ht="12.75" customHeight="1">
      <c r="A22" s="341" t="s">
        <v>969</v>
      </c>
      <c r="B22" s="342"/>
      <c r="C22" s="351"/>
      <c r="D22" s="356"/>
    </row>
    <row r="23" spans="1:4" ht="12.75" customHeight="1">
      <c r="A23" s="341"/>
      <c r="B23" s="342"/>
      <c r="C23" s="351"/>
      <c r="D23" s="356"/>
    </row>
    <row r="24" spans="1:4" s="337" customFormat="1" ht="15" customHeight="1">
      <c r="A24" s="343" t="s">
        <v>1004</v>
      </c>
      <c r="B24" s="344">
        <v>7746</v>
      </c>
      <c r="C24" s="352">
        <v>11484</v>
      </c>
      <c r="D24" s="357">
        <v>7746</v>
      </c>
    </row>
    <row r="25" spans="1:4" s="337" customFormat="1" ht="15" customHeight="1">
      <c r="A25" s="343" t="s">
        <v>1005</v>
      </c>
      <c r="B25" s="344">
        <v>656</v>
      </c>
      <c r="C25" s="352">
        <v>656</v>
      </c>
      <c r="D25" s="357">
        <v>656</v>
      </c>
    </row>
    <row r="26" spans="1:4" ht="12.75">
      <c r="A26" s="333" t="s">
        <v>1006</v>
      </c>
      <c r="B26" s="334">
        <v>134015</v>
      </c>
      <c r="C26" s="351">
        <v>134015</v>
      </c>
      <c r="D26" s="356">
        <v>134015</v>
      </c>
    </row>
    <row r="27" spans="1:4" ht="12.75">
      <c r="A27" s="333" t="s">
        <v>1022</v>
      </c>
      <c r="B27" s="334"/>
      <c r="C27" s="351"/>
      <c r="D27" s="356">
        <v>68</v>
      </c>
    </row>
    <row r="28" spans="1:4" ht="12.75">
      <c r="A28" s="333" t="s">
        <v>1023</v>
      </c>
      <c r="B28" s="334"/>
      <c r="C28" s="351"/>
      <c r="D28" s="356">
        <v>7129</v>
      </c>
    </row>
    <row r="29" spans="1:4" ht="12.75">
      <c r="A29" s="333"/>
      <c r="B29" s="334"/>
      <c r="C29" s="351"/>
      <c r="D29" s="356"/>
    </row>
    <row r="30" spans="1:4" ht="12.75">
      <c r="A30" s="338" t="s">
        <v>1007</v>
      </c>
      <c r="B30" s="334"/>
      <c r="C30" s="351"/>
      <c r="D30" s="356"/>
    </row>
    <row r="31" spans="1:4" ht="12.75">
      <c r="A31" s="333" t="s">
        <v>1008</v>
      </c>
      <c r="B31" s="334"/>
      <c r="C31" s="351">
        <v>4699</v>
      </c>
      <c r="D31" s="356">
        <v>4699</v>
      </c>
    </row>
    <row r="32" spans="1:4" ht="12.75">
      <c r="A32" s="333" t="s">
        <v>1009</v>
      </c>
      <c r="B32" s="334"/>
      <c r="C32" s="351">
        <v>953</v>
      </c>
      <c r="D32" s="356">
        <v>953</v>
      </c>
    </row>
    <row r="33" spans="1:4" ht="12.75">
      <c r="A33" s="333" t="s">
        <v>1010</v>
      </c>
      <c r="B33" s="334"/>
      <c r="C33" s="351">
        <v>264</v>
      </c>
      <c r="D33" s="356">
        <v>264</v>
      </c>
    </row>
    <row r="34" spans="1:4" ht="12.75">
      <c r="A34" s="333" t="s">
        <v>1011</v>
      </c>
      <c r="B34" s="334">
        <v>32310</v>
      </c>
      <c r="C34" s="351">
        <v>32310</v>
      </c>
      <c r="D34" s="356">
        <v>43564</v>
      </c>
    </row>
    <row r="35" spans="1:4" ht="12.75">
      <c r="A35" s="333" t="s">
        <v>1012</v>
      </c>
      <c r="B35" s="334"/>
      <c r="C35" s="351">
        <v>3000</v>
      </c>
      <c r="D35" s="356">
        <v>3000</v>
      </c>
    </row>
    <row r="36" spans="1:4" ht="12.75">
      <c r="A36" s="333" t="s">
        <v>1015</v>
      </c>
      <c r="B36" s="334"/>
      <c r="C36" s="351">
        <v>5445</v>
      </c>
      <c r="D36" s="356">
        <v>5445</v>
      </c>
    </row>
    <row r="37" spans="1:4" ht="12.75">
      <c r="A37" s="338"/>
      <c r="B37" s="339"/>
      <c r="C37" s="351"/>
      <c r="D37" s="356"/>
    </row>
    <row r="38" spans="1:4" ht="12.75">
      <c r="A38" s="338" t="s">
        <v>1016</v>
      </c>
      <c r="B38" s="339"/>
      <c r="C38" s="351"/>
      <c r="D38" s="356"/>
    </row>
    <row r="39" spans="1:4" ht="25.5">
      <c r="A39" s="345" t="s">
        <v>1017</v>
      </c>
      <c r="B39" s="339"/>
      <c r="C39" s="351">
        <v>1100</v>
      </c>
      <c r="D39" s="356">
        <v>1100</v>
      </c>
    </row>
    <row r="40" spans="1:4" ht="12.75">
      <c r="A40" s="346" t="s">
        <v>1018</v>
      </c>
      <c r="B40" s="339"/>
      <c r="C40" s="351">
        <v>1350</v>
      </c>
      <c r="D40" s="356">
        <v>1350</v>
      </c>
    </row>
    <row r="41" spans="1:4" ht="12.75">
      <c r="A41" s="338"/>
      <c r="B41" s="339"/>
      <c r="C41" s="351"/>
      <c r="D41" s="356"/>
    </row>
    <row r="42" spans="1:4" ht="12.75">
      <c r="A42" s="338" t="s">
        <v>1019</v>
      </c>
      <c r="B42" s="339">
        <f>SUM(B24:B34)</f>
        <v>174727</v>
      </c>
      <c r="C42" s="354">
        <f>SUM(C24:C41)</f>
        <v>195276</v>
      </c>
      <c r="D42" s="359">
        <f>SUM(D24:D41)</f>
        <v>209989</v>
      </c>
    </row>
    <row r="43" spans="1:4" ht="12.75">
      <c r="A43" s="333"/>
      <c r="B43" s="340"/>
      <c r="C43" s="351"/>
      <c r="D43" s="356"/>
    </row>
    <row r="44" spans="1:4" ht="13.5" thickBot="1">
      <c r="A44" s="347" t="s">
        <v>1020</v>
      </c>
      <c r="B44" s="348">
        <f>B20-B42</f>
        <v>0</v>
      </c>
      <c r="C44" s="355">
        <f>SUM(C20-C42)</f>
        <v>12</v>
      </c>
      <c r="D44" s="360">
        <v>10061</v>
      </c>
    </row>
  </sheetData>
  <mergeCells count="4">
    <mergeCell ref="A2:B2"/>
    <mergeCell ref="A3:B3"/>
    <mergeCell ref="A4:B4"/>
    <mergeCell ref="A6:B6"/>
  </mergeCells>
  <printOptions horizontalCentered="1"/>
  <pageMargins left="0.38" right="0.1968503937007874" top="0.81" bottom="0.2362204724409449" header="0.5118110236220472" footer="0.5118110236220472"/>
  <pageSetup horizontalDpi="600" verticalDpi="600" orientation="portrait" paperSize="9" scale="78" r:id="rId1"/>
  <headerFooter alignWithMargins="0">
    <oddHeader>&amp;L13. melléklet a 14/2013.(V.2.) önkormányzati rendelethez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3:J15"/>
  <sheetViews>
    <sheetView view="pageBreakPreview" zoomScaleSheetLayoutView="100" workbookViewId="0" topLeftCell="A1">
      <selection activeCell="A2" sqref="A2"/>
    </sheetView>
  </sheetViews>
  <sheetFormatPr defaultColWidth="9.00390625" defaultRowHeight="12.75"/>
  <cols>
    <col min="1" max="1" width="47.875" style="453" customWidth="1"/>
    <col min="2" max="2" width="14.00390625" style="453" customWidth="1"/>
    <col min="3" max="3" width="8.00390625" style="453" customWidth="1"/>
    <col min="4" max="4" width="13.625" style="453" customWidth="1"/>
    <col min="5" max="5" width="7.625" style="453" customWidth="1"/>
    <col min="6" max="9" width="13.25390625" style="453" customWidth="1"/>
    <col min="10" max="10" width="12.00390625" style="453" customWidth="1"/>
    <col min="11" max="16384" width="9.125" style="453" customWidth="1"/>
  </cols>
  <sheetData>
    <row r="3" spans="1:2" ht="15.75">
      <c r="A3" s="775"/>
      <c r="B3" s="775"/>
    </row>
    <row r="4" spans="1:10" s="776" customFormat="1" ht="18.75">
      <c r="A4" s="1481" t="s">
        <v>236</v>
      </c>
      <c r="B4" s="1482"/>
      <c r="C4" s="1482"/>
      <c r="D4" s="1482"/>
      <c r="E4" s="1482"/>
      <c r="F4" s="1482"/>
      <c r="G4" s="1482"/>
      <c r="H4" s="1482"/>
      <c r="I4" s="1482"/>
      <c r="J4" s="1482"/>
    </row>
    <row r="5" spans="1:10" ht="15.75">
      <c r="A5" s="1485" t="s">
        <v>237</v>
      </c>
      <c r="B5" s="1485"/>
      <c r="C5" s="1485"/>
      <c r="D5" s="1485"/>
      <c r="E5" s="1485"/>
      <c r="F5" s="1485"/>
      <c r="G5" s="1485"/>
      <c r="H5" s="1485"/>
      <c r="I5" s="1485"/>
      <c r="J5" s="1485"/>
    </row>
    <row r="6" spans="1:10" ht="15.75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6.5" thickBot="1">
      <c r="A7" s="753"/>
      <c r="B7" s="753"/>
      <c r="C7" s="753"/>
      <c r="D7" s="753"/>
      <c r="E7" s="753"/>
      <c r="F7" s="753"/>
      <c r="G7" s="753"/>
      <c r="H7" s="753"/>
      <c r="I7" s="753"/>
      <c r="J7" s="753"/>
    </row>
    <row r="8" spans="1:10" s="777" customFormat="1" ht="15.75" customHeight="1">
      <c r="A8" s="1486" t="s">
        <v>873</v>
      </c>
      <c r="B8" s="1479" t="s">
        <v>238</v>
      </c>
      <c r="C8" s="1488" t="s">
        <v>239</v>
      </c>
      <c r="D8" s="1488"/>
      <c r="E8" s="1477" t="s">
        <v>240</v>
      </c>
      <c r="F8" s="1477" t="s">
        <v>241</v>
      </c>
      <c r="G8" s="1477" t="s">
        <v>242</v>
      </c>
      <c r="H8" s="1477" t="s">
        <v>243</v>
      </c>
      <c r="I8" s="1477" t="s">
        <v>1000</v>
      </c>
      <c r="J8" s="1490" t="s">
        <v>1001</v>
      </c>
    </row>
    <row r="9" spans="1:10" s="777" customFormat="1" ht="33.75" customHeight="1">
      <c r="A9" s="1487"/>
      <c r="B9" s="1480"/>
      <c r="C9" s="778" t="s">
        <v>244</v>
      </c>
      <c r="D9" s="778" t="s">
        <v>245</v>
      </c>
      <c r="E9" s="1484"/>
      <c r="F9" s="1489"/>
      <c r="G9" s="1483"/>
      <c r="H9" s="1484"/>
      <c r="I9" s="1478"/>
      <c r="J9" s="1491"/>
    </row>
    <row r="10" spans="1:10" ht="19.5" customHeight="1">
      <c r="A10" s="58" t="s">
        <v>246</v>
      </c>
      <c r="B10" s="32" t="s">
        <v>247</v>
      </c>
      <c r="C10" s="79">
        <v>2002</v>
      </c>
      <c r="D10" s="631">
        <v>13130</v>
      </c>
      <c r="E10" s="779">
        <v>2012</v>
      </c>
      <c r="F10" s="27">
        <v>1450</v>
      </c>
      <c r="G10" s="27">
        <v>1450</v>
      </c>
      <c r="H10" s="27">
        <v>0</v>
      </c>
      <c r="I10" s="27">
        <v>0</v>
      </c>
      <c r="J10" s="780">
        <v>0</v>
      </c>
    </row>
    <row r="11" spans="1:10" ht="19.5" customHeight="1">
      <c r="A11" s="58" t="s">
        <v>248</v>
      </c>
      <c r="B11" s="32" t="s">
        <v>249</v>
      </c>
      <c r="C11" s="781">
        <v>2006</v>
      </c>
      <c r="D11" s="782">
        <v>5680</v>
      </c>
      <c r="E11" s="783">
        <v>2012</v>
      </c>
      <c r="F11" s="657">
        <v>1452</v>
      </c>
      <c r="G11" s="657">
        <v>754</v>
      </c>
      <c r="H11" s="784">
        <v>698</v>
      </c>
      <c r="I11" s="784">
        <v>698</v>
      </c>
      <c r="J11" s="785">
        <v>698</v>
      </c>
    </row>
    <row r="12" spans="1:10" ht="19.5" customHeight="1">
      <c r="A12" s="58" t="s">
        <v>250</v>
      </c>
      <c r="B12" s="32" t="s">
        <v>247</v>
      </c>
      <c r="C12" s="781">
        <v>2006</v>
      </c>
      <c r="D12" s="782">
        <v>100000</v>
      </c>
      <c r="E12" s="783">
        <v>2016</v>
      </c>
      <c r="F12" s="657">
        <v>84083</v>
      </c>
      <c r="G12" s="657">
        <v>17709</v>
      </c>
      <c r="H12" s="784">
        <v>66374</v>
      </c>
      <c r="I12" s="784">
        <v>62523</v>
      </c>
      <c r="J12" s="785">
        <v>16681</v>
      </c>
    </row>
    <row r="13" spans="1:10" s="777" customFormat="1" ht="19.5" customHeight="1">
      <c r="A13" s="57" t="s">
        <v>251</v>
      </c>
      <c r="B13" s="33"/>
      <c r="C13" s="786"/>
      <c r="D13" s="787">
        <f>SUM(D10:D12)</f>
        <v>118810</v>
      </c>
      <c r="E13" s="788"/>
      <c r="F13" s="660">
        <f>SUM(F10:F12)</f>
        <v>86985</v>
      </c>
      <c r="G13" s="660">
        <f>SUM(G10:G12)</f>
        <v>19913</v>
      </c>
      <c r="H13" s="789">
        <f>SUM(H10:H12)</f>
        <v>67072</v>
      </c>
      <c r="I13" s="789">
        <f>SUM(I10:I12)</f>
        <v>63221</v>
      </c>
      <c r="J13" s="790">
        <f>SUM(J10:J12)</f>
        <v>17379</v>
      </c>
    </row>
    <row r="14" spans="1:10" s="777" customFormat="1" ht="19.5" customHeight="1">
      <c r="A14" s="57" t="s">
        <v>252</v>
      </c>
      <c r="B14" s="33" t="s">
        <v>253</v>
      </c>
      <c r="C14" s="786">
        <v>2008</v>
      </c>
      <c r="D14" s="791">
        <v>3569115</v>
      </c>
      <c r="E14" s="788">
        <v>2031</v>
      </c>
      <c r="F14" s="660">
        <v>5706793</v>
      </c>
      <c r="G14" s="660">
        <v>114136</v>
      </c>
      <c r="H14" s="789">
        <v>5592657</v>
      </c>
      <c r="I14" s="789">
        <v>5268125</v>
      </c>
      <c r="J14" s="790">
        <v>107513</v>
      </c>
    </row>
    <row r="15" spans="1:10" ht="19.5" customHeight="1" thickBot="1">
      <c r="A15" s="792" t="s">
        <v>254</v>
      </c>
      <c r="B15" s="112"/>
      <c r="C15" s="793"/>
      <c r="D15" s="794">
        <f>SUM(D13+D14)</f>
        <v>3687925</v>
      </c>
      <c r="E15" s="795"/>
      <c r="F15" s="796">
        <f>SUM(F13+F14)</f>
        <v>5793778</v>
      </c>
      <c r="G15" s="796">
        <f>SUM(G13+G14)</f>
        <v>134049</v>
      </c>
      <c r="H15" s="797">
        <f>SUM(H13+H14)</f>
        <v>5659729</v>
      </c>
      <c r="I15" s="797">
        <f>SUM(I13+I14)</f>
        <v>5331346</v>
      </c>
      <c r="J15" s="798">
        <f>SUM(J13+J14)</f>
        <v>124892</v>
      </c>
    </row>
  </sheetData>
  <mergeCells count="11">
    <mergeCell ref="J8:J9"/>
    <mergeCell ref="I8:I9"/>
    <mergeCell ref="B8:B9"/>
    <mergeCell ref="A4:J4"/>
    <mergeCell ref="G8:G9"/>
    <mergeCell ref="H8:H9"/>
    <mergeCell ref="A5:J5"/>
    <mergeCell ref="A8:A9"/>
    <mergeCell ref="C8:D8"/>
    <mergeCell ref="E8:E9"/>
    <mergeCell ref="F8:F9"/>
  </mergeCells>
  <printOptions horizontalCentered="1"/>
  <pageMargins left="0.43" right="0.42" top="0.7480314960629921" bottom="0.7086614173228347" header="0.78" footer="0.5118110236220472"/>
  <pageSetup horizontalDpi="600" verticalDpi="600" orientation="landscape" paperSize="9" scale="90" r:id="rId1"/>
  <headerFooter alignWithMargins="0">
    <oddHeader>&amp;L14. melléklet a 14/2013.(V.2.) önkormányzati rendeletben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B62"/>
  <sheetViews>
    <sheetView workbookViewId="0" topLeftCell="A28">
      <selection activeCell="A53" sqref="A53"/>
    </sheetView>
  </sheetViews>
  <sheetFormatPr defaultColWidth="9.00390625" defaultRowHeight="12.75"/>
  <cols>
    <col min="1" max="1" width="67.125" style="2" customWidth="1"/>
    <col min="2" max="2" width="16.00390625" style="7" customWidth="1"/>
    <col min="3" max="16384" width="9.125" style="2" customWidth="1"/>
  </cols>
  <sheetData>
    <row r="1" spans="1:2" ht="15.75">
      <c r="A1" s="1492" t="s">
        <v>843</v>
      </c>
      <c r="B1" s="1493"/>
    </row>
    <row r="2" spans="1:2" ht="15.75">
      <c r="A2" s="1492" t="s">
        <v>274</v>
      </c>
      <c r="B2" s="1493"/>
    </row>
    <row r="3" spans="1:2" ht="15.75">
      <c r="A3" s="1492"/>
      <c r="B3" s="1493"/>
    </row>
    <row r="4" ht="13.5" thickBot="1"/>
    <row r="5" spans="1:2" ht="12.75">
      <c r="A5" s="1169" t="s">
        <v>845</v>
      </c>
      <c r="B5" s="1170"/>
    </row>
    <row r="6" spans="1:2" ht="12.75">
      <c r="A6" s="1171" t="s">
        <v>846</v>
      </c>
      <c r="B6" s="117"/>
    </row>
    <row r="7" spans="1:2" ht="12.75">
      <c r="A7" s="1171"/>
      <c r="B7" s="1172"/>
    </row>
    <row r="8" spans="1:2" ht="12.75">
      <c r="A8" s="76" t="s">
        <v>847</v>
      </c>
      <c r="B8" s="1172"/>
    </row>
    <row r="9" spans="1:2" ht="12.75">
      <c r="A9" s="58" t="s">
        <v>848</v>
      </c>
      <c r="B9" s="117">
        <v>10710</v>
      </c>
    </row>
    <row r="10" spans="1:2" ht="12.75">
      <c r="A10" s="58" t="s">
        <v>849</v>
      </c>
      <c r="B10" s="117"/>
    </row>
    <row r="11" spans="1:2" ht="12.75">
      <c r="A11" s="58" t="s">
        <v>850</v>
      </c>
      <c r="B11" s="117">
        <v>133</v>
      </c>
    </row>
    <row r="12" spans="1:2" ht="12.75">
      <c r="A12" s="58" t="s">
        <v>851</v>
      </c>
      <c r="B12" s="117"/>
    </row>
    <row r="13" spans="1:2" ht="12.75">
      <c r="A13" s="682" t="s">
        <v>852</v>
      </c>
      <c r="B13" s="117">
        <v>18516</v>
      </c>
    </row>
    <row r="14" spans="1:2" ht="12.75">
      <c r="A14" s="57" t="s">
        <v>853</v>
      </c>
      <c r="B14" s="119">
        <f>SUM(B6:B13)</f>
        <v>29359</v>
      </c>
    </row>
    <row r="15" spans="1:2" ht="12.75">
      <c r="A15" s="58"/>
      <c r="B15" s="117"/>
    </row>
    <row r="16" spans="1:2" ht="12.75">
      <c r="A16" s="57" t="s">
        <v>854</v>
      </c>
      <c r="B16" s="117"/>
    </row>
    <row r="17" spans="1:2" ht="12.75">
      <c r="A17" s="58" t="s">
        <v>855</v>
      </c>
      <c r="B17" s="117"/>
    </row>
    <row r="18" spans="1:2" ht="12.75">
      <c r="A18" s="58" t="s">
        <v>856</v>
      </c>
      <c r="B18" s="117">
        <v>4290</v>
      </c>
    </row>
    <row r="19" spans="1:2" ht="12.75">
      <c r="A19" s="57" t="s">
        <v>857</v>
      </c>
      <c r="B19" s="119">
        <v>4290</v>
      </c>
    </row>
    <row r="20" spans="1:2" ht="12.75">
      <c r="A20" s="58"/>
      <c r="B20" s="117"/>
    </row>
    <row r="21" spans="1:2" ht="25.5">
      <c r="A21" s="175" t="s">
        <v>858</v>
      </c>
      <c r="B21" s="117"/>
    </row>
    <row r="22" spans="1:2" ht="12.75">
      <c r="A22" s="58"/>
      <c r="B22" s="117"/>
    </row>
    <row r="23" spans="1:2" ht="26.25" customHeight="1">
      <c r="A23" s="57" t="s">
        <v>859</v>
      </c>
      <c r="B23" s="119">
        <v>3477</v>
      </c>
    </row>
    <row r="24" spans="1:2" ht="12.75">
      <c r="A24" s="58"/>
      <c r="B24" s="117"/>
    </row>
    <row r="25" spans="1:2" ht="12.75">
      <c r="A25" s="57" t="s">
        <v>275</v>
      </c>
      <c r="B25" s="117"/>
    </row>
    <row r="26" spans="1:2" ht="12.75">
      <c r="A26" s="58" t="s">
        <v>860</v>
      </c>
      <c r="B26" s="117">
        <v>20030</v>
      </c>
    </row>
    <row r="27" spans="1:2" ht="12.75">
      <c r="A27" s="58" t="s">
        <v>861</v>
      </c>
      <c r="B27" s="117">
        <v>17675</v>
      </c>
    </row>
    <row r="28" spans="1:2" ht="12.75">
      <c r="A28" s="58" t="s">
        <v>862</v>
      </c>
      <c r="B28" s="117">
        <v>47290</v>
      </c>
    </row>
    <row r="29" spans="1:2" ht="12.75">
      <c r="A29" s="58" t="s">
        <v>863</v>
      </c>
      <c r="B29" s="1173">
        <v>46245</v>
      </c>
    </row>
    <row r="30" spans="1:2" ht="12.75">
      <c r="A30" s="58" t="s">
        <v>864</v>
      </c>
      <c r="B30" s="117">
        <v>1459</v>
      </c>
    </row>
    <row r="31" spans="1:2" ht="12.75">
      <c r="A31" s="58" t="s">
        <v>865</v>
      </c>
      <c r="B31" s="117">
        <v>288</v>
      </c>
    </row>
    <row r="32" spans="1:2" ht="12.75">
      <c r="A32" s="58" t="s">
        <v>277</v>
      </c>
      <c r="B32" s="117">
        <v>1540</v>
      </c>
    </row>
    <row r="33" spans="1:2" ht="12.75">
      <c r="A33" s="58" t="s">
        <v>278</v>
      </c>
      <c r="B33" s="117">
        <v>64</v>
      </c>
    </row>
    <row r="34" spans="1:2" ht="12.75">
      <c r="A34" s="58"/>
      <c r="B34" s="117"/>
    </row>
    <row r="35" spans="1:2" ht="12.75">
      <c r="A35" s="57" t="s">
        <v>866</v>
      </c>
      <c r="B35" s="119">
        <f>SUM(B26:B33)</f>
        <v>134591</v>
      </c>
    </row>
    <row r="36" spans="1:2" ht="12.75">
      <c r="A36" s="58"/>
      <c r="B36" s="117"/>
    </row>
    <row r="37" spans="1:2" ht="12.75">
      <c r="A37" s="57" t="s">
        <v>276</v>
      </c>
      <c r="B37" s="117"/>
    </row>
    <row r="38" spans="1:2" ht="12.75">
      <c r="A38" s="58" t="s">
        <v>860</v>
      </c>
      <c r="B38" s="117">
        <v>962</v>
      </c>
    </row>
    <row r="39" spans="1:2" ht="12.75">
      <c r="A39" s="58" t="s">
        <v>861</v>
      </c>
      <c r="B39" s="117">
        <v>60897</v>
      </c>
    </row>
    <row r="40" spans="1:2" ht="12.75">
      <c r="A40" s="58" t="s">
        <v>862</v>
      </c>
      <c r="B40" s="117">
        <v>18201</v>
      </c>
    </row>
    <row r="41" spans="1:2" ht="12.75">
      <c r="A41" s="58" t="s">
        <v>863</v>
      </c>
      <c r="B41" s="117">
        <v>11298</v>
      </c>
    </row>
    <row r="42" spans="1:2" ht="12.75">
      <c r="A42" s="58" t="s">
        <v>867</v>
      </c>
      <c r="B42" s="117">
        <v>25869</v>
      </c>
    </row>
    <row r="43" spans="1:2" ht="12.75">
      <c r="A43" s="58" t="s">
        <v>865</v>
      </c>
      <c r="B43" s="117">
        <v>54</v>
      </c>
    </row>
    <row r="44" spans="1:2" ht="12.75">
      <c r="A44" s="57" t="s">
        <v>868</v>
      </c>
      <c r="B44" s="119">
        <f>SUM(B38:B43)</f>
        <v>117281</v>
      </c>
    </row>
    <row r="45" spans="1:2" ht="12.75">
      <c r="A45" s="58"/>
      <c r="B45" s="117"/>
    </row>
    <row r="46" spans="1:2" ht="12.75">
      <c r="A46" s="188" t="s">
        <v>869</v>
      </c>
      <c r="B46" s="277">
        <f>SUM(B14+B19+B23+B35+B44)</f>
        <v>288998</v>
      </c>
    </row>
    <row r="47" spans="1:2" ht="12.75">
      <c r="A47" s="58"/>
      <c r="B47" s="117"/>
    </row>
    <row r="48" spans="1:2" ht="12.75">
      <c r="A48" s="57" t="s">
        <v>870</v>
      </c>
      <c r="B48" s="119">
        <v>237</v>
      </c>
    </row>
    <row r="49" spans="1:2" ht="12.75">
      <c r="A49" s="58" t="s">
        <v>872</v>
      </c>
      <c r="B49" s="117"/>
    </row>
    <row r="50" spans="1:2" ht="12.75">
      <c r="A50" s="188"/>
      <c r="B50" s="1174"/>
    </row>
    <row r="51" spans="1:2" ht="12.75">
      <c r="A51" s="188" t="s">
        <v>279</v>
      </c>
      <c r="B51" s="277">
        <v>4531</v>
      </c>
    </row>
    <row r="52" spans="1:2" ht="12.75">
      <c r="A52" s="188"/>
      <c r="B52" s="277"/>
    </row>
    <row r="53" spans="1:2" ht="12.75">
      <c r="A53" s="57" t="s">
        <v>1013</v>
      </c>
      <c r="B53" s="119">
        <v>7500</v>
      </c>
    </row>
    <row r="54" spans="1:2" ht="12.75">
      <c r="A54" s="1175"/>
      <c r="B54" s="1174"/>
    </row>
    <row r="55" spans="1:2" ht="13.5" thickBot="1">
      <c r="A55" s="1176" t="s">
        <v>871</v>
      </c>
      <c r="B55" s="171">
        <f>SUM(B46:B54)</f>
        <v>301266</v>
      </c>
    </row>
    <row r="61" spans="1:2" ht="12.75">
      <c r="A61" s="291"/>
      <c r="B61" s="292"/>
    </row>
    <row r="62" spans="1:2" ht="12.75">
      <c r="A62" s="291"/>
      <c r="B62" s="293"/>
    </row>
  </sheetData>
  <mergeCells count="3">
    <mergeCell ref="A1:B1"/>
    <mergeCell ref="A2:B2"/>
    <mergeCell ref="A3:B3"/>
  </mergeCells>
  <printOptions horizontalCentered="1"/>
  <pageMargins left="0.7874015748031497" right="0.7874015748031497" top="0.7" bottom="0.4330708661417323" header="0.4330708661417323" footer="0.31496062992125984"/>
  <pageSetup horizontalDpi="600" verticalDpi="600" orientation="portrait" paperSize="9" r:id="rId1"/>
  <headerFooter alignWithMargins="0">
    <oddHeader>&amp;L15. melléklet a 14/2013.(V.2.) önkormányzati rendelethez
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D208"/>
  <sheetViews>
    <sheetView view="pageBreakPreview" zoomScaleSheetLayoutView="100" workbookViewId="0" topLeftCell="A178">
      <selection activeCell="B158" sqref="B158:D158"/>
    </sheetView>
  </sheetViews>
  <sheetFormatPr defaultColWidth="9.00390625" defaultRowHeight="12.75"/>
  <cols>
    <col min="1" max="1" width="47.625" style="1232" customWidth="1"/>
    <col min="2" max="2" width="19.375" style="1232" customWidth="1"/>
    <col min="3" max="3" width="27.125" style="1231" customWidth="1"/>
    <col min="4" max="4" width="17.625" style="1231" customWidth="1"/>
    <col min="5" max="16384" width="9.125" style="1231" customWidth="1"/>
  </cols>
  <sheetData>
    <row r="1" spans="1:4" ht="33.75" customHeight="1">
      <c r="A1" s="1494" t="s">
        <v>660</v>
      </c>
      <c r="B1" s="1495"/>
      <c r="C1" s="1495"/>
      <c r="D1" s="1496"/>
    </row>
    <row r="2" spans="1:4" ht="19.5" customHeight="1" thickBot="1">
      <c r="A2" s="1298"/>
      <c r="B2" s="1299"/>
      <c r="C2" s="1300"/>
      <c r="D2" s="1301"/>
    </row>
    <row r="3" spans="1:4" ht="15" customHeight="1" thickTop="1">
      <c r="A3" s="1302" t="s">
        <v>661</v>
      </c>
      <c r="B3" s="1233" t="s">
        <v>662</v>
      </c>
      <c r="C3" s="1234"/>
      <c r="D3" s="1303"/>
    </row>
    <row r="4" spans="1:4" ht="15" customHeight="1">
      <c r="A4" s="1304" t="s">
        <v>663</v>
      </c>
      <c r="B4" s="1508">
        <v>40148</v>
      </c>
      <c r="C4" s="1508"/>
      <c r="D4" s="1509"/>
    </row>
    <row r="5" spans="1:4" ht="15" customHeight="1">
      <c r="A5" s="1304" t="s">
        <v>664</v>
      </c>
      <c r="B5" s="1502" t="s">
        <v>665</v>
      </c>
      <c r="C5" s="1502"/>
      <c r="D5" s="1503"/>
    </row>
    <row r="6" spans="1:4" s="1238" customFormat="1" ht="15" customHeight="1">
      <c r="A6" s="1305" t="s">
        <v>666</v>
      </c>
      <c r="B6" s="1236">
        <f>SUM(B7,B9)</f>
        <v>645453</v>
      </c>
      <c r="C6" s="1237" t="s">
        <v>667</v>
      </c>
      <c r="D6" s="1306">
        <v>0</v>
      </c>
    </row>
    <row r="7" spans="1:4" ht="15" customHeight="1">
      <c r="A7" s="1304" t="s">
        <v>668</v>
      </c>
      <c r="B7" s="1235">
        <f>B10-B9</f>
        <v>237363</v>
      </c>
      <c r="C7" s="1239" t="s">
        <v>667</v>
      </c>
      <c r="D7" s="1307">
        <v>0</v>
      </c>
    </row>
    <row r="8" spans="1:4" ht="15" customHeight="1">
      <c r="A8" s="1304" t="s">
        <v>669</v>
      </c>
      <c r="B8" s="1235">
        <v>117384</v>
      </c>
      <c r="C8" s="1239" t="s">
        <v>667</v>
      </c>
      <c r="D8" s="1307">
        <v>0</v>
      </c>
    </row>
    <row r="9" spans="1:4" ht="15" customHeight="1">
      <c r="A9" s="1304" t="s">
        <v>670</v>
      </c>
      <c r="B9" s="1235">
        <v>408090</v>
      </c>
      <c r="C9" s="1239" t="s">
        <v>667</v>
      </c>
      <c r="D9" s="1307">
        <v>0</v>
      </c>
    </row>
    <row r="10" spans="1:4" s="1238" customFormat="1" ht="15" customHeight="1">
      <c r="A10" s="1305" t="s">
        <v>671</v>
      </c>
      <c r="B10" s="1236">
        <v>645453</v>
      </c>
      <c r="C10" s="1237" t="s">
        <v>667</v>
      </c>
      <c r="D10" s="1308">
        <v>2864</v>
      </c>
    </row>
    <row r="11" spans="1:4" ht="15" customHeight="1">
      <c r="A11" s="1497"/>
      <c r="B11" s="1498"/>
      <c r="C11" s="1498"/>
      <c r="D11" s="1499"/>
    </row>
    <row r="12" spans="1:4" ht="61.5" customHeight="1">
      <c r="A12" s="1304" t="s">
        <v>661</v>
      </c>
      <c r="B12" s="1500" t="s">
        <v>1047</v>
      </c>
      <c r="C12" s="1500"/>
      <c r="D12" s="1501"/>
    </row>
    <row r="13" spans="1:4" ht="15" customHeight="1">
      <c r="A13" s="1304" t="s">
        <v>663</v>
      </c>
      <c r="B13" s="1508">
        <v>40898</v>
      </c>
      <c r="C13" s="1508"/>
      <c r="D13" s="1509"/>
    </row>
    <row r="14" spans="1:4" ht="15" customHeight="1">
      <c r="A14" s="1304" t="s">
        <v>664</v>
      </c>
      <c r="B14" s="1502" t="s">
        <v>665</v>
      </c>
      <c r="C14" s="1502"/>
      <c r="D14" s="1503"/>
    </row>
    <row r="15" spans="1:4" s="1238" customFormat="1" ht="15" customHeight="1">
      <c r="A15" s="1305" t="s">
        <v>666</v>
      </c>
      <c r="B15" s="1236">
        <f>SUM(B16,B18)</f>
        <v>419980</v>
      </c>
      <c r="C15" s="1237" t="s">
        <v>667</v>
      </c>
      <c r="D15" s="1308">
        <v>19241</v>
      </c>
    </row>
    <row r="16" spans="1:4" ht="15" customHeight="1">
      <c r="A16" s="1304" t="s">
        <v>668</v>
      </c>
      <c r="B16" s="1235">
        <f>B19-B18-B17+B17</f>
        <v>102845</v>
      </c>
      <c r="C16" s="1239" t="s">
        <v>667</v>
      </c>
      <c r="D16" s="1307">
        <v>0</v>
      </c>
    </row>
    <row r="17" spans="1:4" ht="15" customHeight="1">
      <c r="A17" s="1304" t="s">
        <v>669</v>
      </c>
      <c r="B17" s="1235">
        <v>101566</v>
      </c>
      <c r="C17" s="1239" t="s">
        <v>667</v>
      </c>
      <c r="D17" s="1307">
        <v>0</v>
      </c>
    </row>
    <row r="18" spans="1:4" ht="15" customHeight="1">
      <c r="A18" s="1304" t="s">
        <v>672</v>
      </c>
      <c r="B18" s="1235">
        <v>317135</v>
      </c>
      <c r="C18" s="1239" t="s">
        <v>667</v>
      </c>
      <c r="D18" s="1309">
        <v>19241</v>
      </c>
    </row>
    <row r="19" spans="1:4" s="1238" customFormat="1" ht="15" customHeight="1">
      <c r="A19" s="1305" t="s">
        <v>671</v>
      </c>
      <c r="B19" s="1236">
        <v>419980</v>
      </c>
      <c r="C19" s="1237" t="s">
        <v>667</v>
      </c>
      <c r="D19" s="1308">
        <v>15825</v>
      </c>
    </row>
    <row r="20" spans="1:4" ht="15" customHeight="1">
      <c r="A20" s="1497"/>
      <c r="B20" s="1498"/>
      <c r="C20" s="1498"/>
      <c r="D20" s="1499"/>
    </row>
    <row r="21" spans="1:4" ht="41.25" customHeight="1">
      <c r="A21" s="1304" t="s">
        <v>661</v>
      </c>
      <c r="B21" s="1500" t="s">
        <v>673</v>
      </c>
      <c r="C21" s="1500"/>
      <c r="D21" s="1501"/>
    </row>
    <row r="22" spans="1:4" ht="15" customHeight="1">
      <c r="A22" s="1304" t="s">
        <v>674</v>
      </c>
      <c r="B22" s="1519" t="s">
        <v>675</v>
      </c>
      <c r="C22" s="1519"/>
      <c r="D22" s="1520"/>
    </row>
    <row r="23" spans="1:4" ht="15" customHeight="1">
      <c r="A23" s="1304" t="s">
        <v>664</v>
      </c>
      <c r="B23" s="1502" t="s">
        <v>676</v>
      </c>
      <c r="C23" s="1502"/>
      <c r="D23" s="1503"/>
    </row>
    <row r="24" spans="1:4" s="1238" customFormat="1" ht="15" customHeight="1">
      <c r="A24" s="1305" t="s">
        <v>666</v>
      </c>
      <c r="B24" s="1236">
        <v>185000</v>
      </c>
      <c r="C24" s="1237" t="s">
        <v>667</v>
      </c>
      <c r="D24" s="1306">
        <v>0</v>
      </c>
    </row>
    <row r="25" spans="1:4" ht="15" customHeight="1">
      <c r="A25" s="1304" t="s">
        <v>668</v>
      </c>
      <c r="B25" s="1235">
        <v>0</v>
      </c>
      <c r="C25" s="1239" t="s">
        <v>667</v>
      </c>
      <c r="D25" s="1307">
        <v>0</v>
      </c>
    </row>
    <row r="26" spans="1:4" ht="15" customHeight="1">
      <c r="A26" s="1304" t="s">
        <v>677</v>
      </c>
      <c r="B26" s="1235">
        <v>0</v>
      </c>
      <c r="C26" s="1239" t="s">
        <v>667</v>
      </c>
      <c r="D26" s="1307">
        <v>0</v>
      </c>
    </row>
    <row r="27" spans="1:4" ht="15" customHeight="1">
      <c r="A27" s="1304" t="s">
        <v>672</v>
      </c>
      <c r="B27" s="1235">
        <v>185000</v>
      </c>
      <c r="C27" s="1239" t="s">
        <v>667</v>
      </c>
      <c r="D27" s="1307">
        <v>0</v>
      </c>
    </row>
    <row r="28" spans="1:4" s="1238" customFormat="1" ht="15" customHeight="1">
      <c r="A28" s="1305" t="s">
        <v>671</v>
      </c>
      <c r="B28" s="1236">
        <v>185000</v>
      </c>
      <c r="C28" s="1237" t="s">
        <v>667</v>
      </c>
      <c r="D28" s="1306">
        <v>0</v>
      </c>
    </row>
    <row r="29" spans="1:4" ht="15" customHeight="1">
      <c r="A29" s="1497"/>
      <c r="B29" s="1498"/>
      <c r="C29" s="1498"/>
      <c r="D29" s="1499"/>
    </row>
    <row r="30" spans="1:4" ht="39.75" customHeight="1">
      <c r="A30" s="1310" t="s">
        <v>661</v>
      </c>
      <c r="B30" s="1500" t="s">
        <v>678</v>
      </c>
      <c r="C30" s="1500"/>
      <c r="D30" s="1501"/>
    </row>
    <row r="31" spans="1:4" ht="15" customHeight="1">
      <c r="A31" s="1304" t="s">
        <v>663</v>
      </c>
      <c r="B31" s="1508">
        <v>41067</v>
      </c>
      <c r="C31" s="1508"/>
      <c r="D31" s="1509"/>
    </row>
    <row r="32" spans="1:4" ht="15" customHeight="1">
      <c r="A32" s="1304" t="s">
        <v>664</v>
      </c>
      <c r="B32" s="1504">
        <v>2014</v>
      </c>
      <c r="C32" s="1504"/>
      <c r="D32" s="1505"/>
    </row>
    <row r="33" spans="1:4" s="1238" customFormat="1" ht="15" customHeight="1">
      <c r="A33" s="1305" t="s">
        <v>666</v>
      </c>
      <c r="B33" s="1236">
        <f>SUM(B34,B36)</f>
        <v>1150106</v>
      </c>
      <c r="C33" s="1237" t="s">
        <v>667</v>
      </c>
      <c r="D33" s="1306">
        <v>0</v>
      </c>
    </row>
    <row r="34" spans="1:4" ht="15" customHeight="1">
      <c r="A34" s="1304" t="s">
        <v>668</v>
      </c>
      <c r="B34" s="1235">
        <f>B37-B36</f>
        <v>471173</v>
      </c>
      <c r="C34" s="1239" t="s">
        <v>667</v>
      </c>
      <c r="D34" s="1307">
        <v>0</v>
      </c>
    </row>
    <row r="35" spans="1:4" ht="15" customHeight="1">
      <c r="A35" s="1304" t="s">
        <v>669</v>
      </c>
      <c r="B35" s="1235">
        <v>121496</v>
      </c>
      <c r="C35" s="1239" t="s">
        <v>667</v>
      </c>
      <c r="D35" s="1307">
        <v>0</v>
      </c>
    </row>
    <row r="36" spans="1:4" ht="15" customHeight="1">
      <c r="A36" s="1304" t="s">
        <v>679</v>
      </c>
      <c r="B36" s="1235">
        <v>678933</v>
      </c>
      <c r="C36" s="1239" t="s">
        <v>667</v>
      </c>
      <c r="D36" s="1307">
        <v>0</v>
      </c>
    </row>
    <row r="37" spans="1:4" s="1238" customFormat="1" ht="15" customHeight="1">
      <c r="A37" s="1305" t="s">
        <v>671</v>
      </c>
      <c r="B37" s="1236">
        <v>1150106</v>
      </c>
      <c r="C37" s="1237" t="s">
        <v>667</v>
      </c>
      <c r="D37" s="1308">
        <v>9398</v>
      </c>
    </row>
    <row r="38" spans="1:4" ht="15" customHeight="1">
      <c r="A38" s="1497"/>
      <c r="B38" s="1498"/>
      <c r="C38" s="1498"/>
      <c r="D38" s="1499"/>
    </row>
    <row r="39" spans="1:4" ht="31.5" customHeight="1">
      <c r="A39" s="1310" t="s">
        <v>661</v>
      </c>
      <c r="B39" s="1500" t="s">
        <v>1050</v>
      </c>
      <c r="C39" s="1500"/>
      <c r="D39" s="1501"/>
    </row>
    <row r="40" spans="1:4" ht="15" customHeight="1">
      <c r="A40" s="1304" t="s">
        <v>663</v>
      </c>
      <c r="B40" s="1508">
        <v>41152</v>
      </c>
      <c r="C40" s="1508"/>
      <c r="D40" s="1509"/>
    </row>
    <row r="41" spans="1:4" ht="15" customHeight="1">
      <c r="A41" s="1304" t="s">
        <v>664</v>
      </c>
      <c r="B41" s="1504">
        <v>2013</v>
      </c>
      <c r="C41" s="1504"/>
      <c r="D41" s="1505"/>
    </row>
    <row r="42" spans="1:4" s="1238" customFormat="1" ht="15" customHeight="1">
      <c r="A42" s="1305" t="s">
        <v>666</v>
      </c>
      <c r="B42" s="1236">
        <f>SUM(B43:B45)</f>
        <v>12700</v>
      </c>
      <c r="C42" s="1237" t="s">
        <v>667</v>
      </c>
      <c r="D42" s="1306">
        <v>0</v>
      </c>
    </row>
    <row r="43" spans="1:4" ht="15" customHeight="1">
      <c r="A43" s="1304" t="s">
        <v>668</v>
      </c>
      <c r="B43" s="1235">
        <f>B46-B45</f>
        <v>1905</v>
      </c>
      <c r="C43" s="1239" t="s">
        <v>667</v>
      </c>
      <c r="D43" s="1307">
        <v>0</v>
      </c>
    </row>
    <row r="44" spans="1:4" ht="15" customHeight="1">
      <c r="A44" s="1304" t="s">
        <v>677</v>
      </c>
      <c r="B44" s="1235"/>
      <c r="C44" s="1239" t="s">
        <v>667</v>
      </c>
      <c r="D44" s="1307">
        <v>0</v>
      </c>
    </row>
    <row r="45" spans="1:4" ht="15" customHeight="1">
      <c r="A45" s="1304" t="s">
        <v>672</v>
      </c>
      <c r="B45" s="1235">
        <v>10795</v>
      </c>
      <c r="C45" s="1239" t="s">
        <v>667</v>
      </c>
      <c r="D45" s="1309">
        <v>1673</v>
      </c>
    </row>
    <row r="46" spans="1:4" s="1238" customFormat="1" ht="15" customHeight="1">
      <c r="A46" s="1305" t="s">
        <v>671</v>
      </c>
      <c r="B46" s="1236">
        <v>12700</v>
      </c>
      <c r="C46" s="1237" t="s">
        <v>667</v>
      </c>
      <c r="D46" s="1308">
        <v>6137</v>
      </c>
    </row>
    <row r="47" spans="1:4" ht="15" customHeight="1">
      <c r="A47" s="1497"/>
      <c r="B47" s="1498"/>
      <c r="C47" s="1498"/>
      <c r="D47" s="1499"/>
    </row>
    <row r="48" spans="1:4" ht="28.5" customHeight="1">
      <c r="A48" s="1310" t="s">
        <v>661</v>
      </c>
      <c r="B48" s="1500" t="s">
        <v>680</v>
      </c>
      <c r="C48" s="1500"/>
      <c r="D48" s="1501"/>
    </row>
    <row r="49" spans="1:4" ht="15" customHeight="1">
      <c r="A49" s="1304" t="s">
        <v>674</v>
      </c>
      <c r="B49" s="1519" t="s">
        <v>681</v>
      </c>
      <c r="C49" s="1519"/>
      <c r="D49" s="1520"/>
    </row>
    <row r="50" spans="1:4" ht="15" customHeight="1">
      <c r="A50" s="1304" t="s">
        <v>664</v>
      </c>
      <c r="B50" s="1504">
        <v>2013</v>
      </c>
      <c r="C50" s="1504"/>
      <c r="D50" s="1505"/>
    </row>
    <row r="51" spans="1:4" s="1238" customFormat="1" ht="15" customHeight="1">
      <c r="A51" s="1305" t="s">
        <v>666</v>
      </c>
      <c r="B51" s="1236">
        <v>25000</v>
      </c>
      <c r="C51" s="1237" t="s">
        <v>667</v>
      </c>
      <c r="D51" s="1306">
        <v>0</v>
      </c>
    </row>
    <row r="52" spans="1:4" ht="15" customHeight="1">
      <c r="A52" s="1304" t="s">
        <v>682</v>
      </c>
      <c r="B52" s="1235">
        <v>5000</v>
      </c>
      <c r="C52" s="1239" t="s">
        <v>667</v>
      </c>
      <c r="D52" s="1307">
        <v>0</v>
      </c>
    </row>
    <row r="53" spans="1:4" ht="15" customHeight="1">
      <c r="A53" s="1304" t="s">
        <v>677</v>
      </c>
      <c r="B53" s="1235"/>
      <c r="C53" s="1239" t="s">
        <v>667</v>
      </c>
      <c r="D53" s="1307">
        <v>0</v>
      </c>
    </row>
    <row r="54" spans="1:4" ht="15" customHeight="1">
      <c r="A54" s="1304" t="s">
        <v>672</v>
      </c>
      <c r="B54" s="1235">
        <v>20000</v>
      </c>
      <c r="C54" s="1239" t="s">
        <v>667</v>
      </c>
      <c r="D54" s="1307">
        <v>0</v>
      </c>
    </row>
    <row r="55" spans="1:4" s="1238" customFormat="1" ht="15" customHeight="1">
      <c r="A55" s="1305" t="s">
        <v>671</v>
      </c>
      <c r="B55" s="1236">
        <v>25000</v>
      </c>
      <c r="C55" s="1237" t="s">
        <v>667</v>
      </c>
      <c r="D55" s="1306">
        <v>0</v>
      </c>
    </row>
    <row r="56" spans="1:4" ht="15" customHeight="1">
      <c r="A56" s="1497"/>
      <c r="B56" s="1498"/>
      <c r="C56" s="1498"/>
      <c r="D56" s="1499"/>
    </row>
    <row r="57" spans="1:4" ht="30.75" customHeight="1">
      <c r="A57" s="1310" t="s">
        <v>661</v>
      </c>
      <c r="B57" s="1500" t="s">
        <v>683</v>
      </c>
      <c r="C57" s="1500"/>
      <c r="D57" s="1501"/>
    </row>
    <row r="58" spans="1:4" ht="15" customHeight="1">
      <c r="A58" s="1304" t="s">
        <v>674</v>
      </c>
      <c r="B58" s="1502" t="s">
        <v>684</v>
      </c>
      <c r="C58" s="1502"/>
      <c r="D58" s="1503"/>
    </row>
    <row r="59" spans="1:4" ht="15" customHeight="1">
      <c r="A59" s="1304" t="s">
        <v>664</v>
      </c>
      <c r="B59" s="1504">
        <v>2013</v>
      </c>
      <c r="C59" s="1504"/>
      <c r="D59" s="1505"/>
    </row>
    <row r="60" spans="1:4" s="1238" customFormat="1" ht="15" customHeight="1">
      <c r="A60" s="1305" t="s">
        <v>666</v>
      </c>
      <c r="B60" s="1236">
        <f>SUM(B61:B63)</f>
        <v>75674</v>
      </c>
      <c r="C60" s="1237" t="s">
        <v>667</v>
      </c>
      <c r="D60" s="1306">
        <v>0</v>
      </c>
    </row>
    <row r="61" spans="1:4" ht="15" customHeight="1">
      <c r="A61" s="1304" t="s">
        <v>668</v>
      </c>
      <c r="B61" s="1235">
        <f>B64-B63</f>
        <v>10241</v>
      </c>
      <c r="C61" s="1239" t="s">
        <v>667</v>
      </c>
      <c r="D61" s="1307">
        <v>0</v>
      </c>
    </row>
    <row r="62" spans="1:4" ht="15" customHeight="1">
      <c r="A62" s="1304" t="s">
        <v>677</v>
      </c>
      <c r="B62" s="1235"/>
      <c r="C62" s="1239" t="s">
        <v>667</v>
      </c>
      <c r="D62" s="1307">
        <v>0</v>
      </c>
    </row>
    <row r="63" spans="1:4" ht="15" customHeight="1">
      <c r="A63" s="1304" t="s">
        <v>672</v>
      </c>
      <c r="B63" s="1235">
        <v>65433</v>
      </c>
      <c r="C63" s="1239" t="s">
        <v>667</v>
      </c>
      <c r="D63" s="1307">
        <v>0</v>
      </c>
    </row>
    <row r="64" spans="1:4" s="1238" customFormat="1" ht="15" customHeight="1">
      <c r="A64" s="1305" t="s">
        <v>671</v>
      </c>
      <c r="B64" s="1236">
        <v>75674</v>
      </c>
      <c r="C64" s="1237" t="s">
        <v>667</v>
      </c>
      <c r="D64" s="1306">
        <v>0</v>
      </c>
    </row>
    <row r="65" spans="1:4" ht="15" customHeight="1">
      <c r="A65" s="1497"/>
      <c r="B65" s="1498"/>
      <c r="C65" s="1498"/>
      <c r="D65" s="1499"/>
    </row>
    <row r="66" spans="1:4" ht="30.75" customHeight="1">
      <c r="A66" s="1310" t="s">
        <v>661</v>
      </c>
      <c r="B66" s="1500" t="s">
        <v>685</v>
      </c>
      <c r="C66" s="1500"/>
      <c r="D66" s="1501"/>
    </row>
    <row r="67" spans="1:4" ht="15" customHeight="1">
      <c r="A67" s="1304" t="s">
        <v>674</v>
      </c>
      <c r="B67" s="1502" t="s">
        <v>686</v>
      </c>
      <c r="C67" s="1502"/>
      <c r="D67" s="1503"/>
    </row>
    <row r="68" spans="1:4" ht="15" customHeight="1">
      <c r="A68" s="1304" t="s">
        <v>664</v>
      </c>
      <c r="B68" s="1504">
        <v>2013</v>
      </c>
      <c r="C68" s="1504"/>
      <c r="D68" s="1505"/>
    </row>
    <row r="69" spans="1:4" s="1238" customFormat="1" ht="15" customHeight="1">
      <c r="A69" s="1305" t="s">
        <v>666</v>
      </c>
      <c r="B69" s="1236">
        <f>SUM(B70:B72)</f>
        <v>124135</v>
      </c>
      <c r="C69" s="1237" t="s">
        <v>667</v>
      </c>
      <c r="D69" s="1308">
        <v>1181</v>
      </c>
    </row>
    <row r="70" spans="1:4" ht="15" customHeight="1">
      <c r="A70" s="1304" t="s">
        <v>668</v>
      </c>
      <c r="B70" s="1235">
        <f>B73-B72</f>
        <v>42845</v>
      </c>
      <c r="C70" s="1239" t="s">
        <v>667</v>
      </c>
      <c r="D70" s="1309">
        <v>1181</v>
      </c>
    </row>
    <row r="71" spans="1:4" ht="15" customHeight="1">
      <c r="A71" s="1304" t="s">
        <v>677</v>
      </c>
      <c r="B71" s="1235"/>
      <c r="C71" s="1239" t="s">
        <v>667</v>
      </c>
      <c r="D71" s="1309">
        <v>0</v>
      </c>
    </row>
    <row r="72" spans="1:4" ht="15" customHeight="1">
      <c r="A72" s="1304" t="s">
        <v>672</v>
      </c>
      <c r="B72" s="1235">
        <v>81290</v>
      </c>
      <c r="C72" s="1239" t="s">
        <v>667</v>
      </c>
      <c r="D72" s="1309">
        <v>0</v>
      </c>
    </row>
    <row r="73" spans="1:4" s="1238" customFormat="1" ht="15" customHeight="1">
      <c r="A73" s="1305" t="s">
        <v>671</v>
      </c>
      <c r="B73" s="1236">
        <v>124135</v>
      </c>
      <c r="C73" s="1237" t="s">
        <v>667</v>
      </c>
      <c r="D73" s="1308">
        <v>1181</v>
      </c>
    </row>
    <row r="74" spans="1:4" ht="15" customHeight="1">
      <c r="A74" s="1497"/>
      <c r="B74" s="1498"/>
      <c r="C74" s="1498"/>
      <c r="D74" s="1499"/>
    </row>
    <row r="75" spans="1:4" ht="46.5" customHeight="1">
      <c r="A75" s="1310" t="s">
        <v>661</v>
      </c>
      <c r="B75" s="1500" t="s">
        <v>1046</v>
      </c>
      <c r="C75" s="1500"/>
      <c r="D75" s="1501"/>
    </row>
    <row r="76" spans="1:4" ht="15" customHeight="1">
      <c r="A76" s="1304" t="s">
        <v>687</v>
      </c>
      <c r="B76" s="1508">
        <v>40730</v>
      </c>
      <c r="C76" s="1508"/>
      <c r="D76" s="1509"/>
    </row>
    <row r="77" spans="1:4" ht="15" customHeight="1">
      <c r="A77" s="1304" t="s">
        <v>664</v>
      </c>
      <c r="B77" s="1504">
        <v>2013</v>
      </c>
      <c r="C77" s="1504"/>
      <c r="D77" s="1505"/>
    </row>
    <row r="78" spans="1:4" s="1238" customFormat="1" ht="15" customHeight="1">
      <c r="A78" s="1305" t="s">
        <v>666</v>
      </c>
      <c r="B78" s="1236">
        <f>SUM(B79:B81)</f>
        <v>507550</v>
      </c>
      <c r="C78" s="1237" t="s">
        <v>667</v>
      </c>
      <c r="D78" s="1308">
        <v>16236</v>
      </c>
    </row>
    <row r="79" spans="1:4" ht="15" customHeight="1">
      <c r="A79" s="1304" t="s">
        <v>668</v>
      </c>
      <c r="B79" s="1235">
        <f>B82-B81</f>
        <v>63030</v>
      </c>
      <c r="C79" s="1239" t="s">
        <v>667</v>
      </c>
      <c r="D79" s="1309">
        <v>16236</v>
      </c>
    </row>
    <row r="80" spans="1:4" ht="15" customHeight="1">
      <c r="A80" s="1304" t="s">
        <v>677</v>
      </c>
      <c r="B80" s="1235"/>
      <c r="C80" s="1239" t="s">
        <v>667</v>
      </c>
      <c r="D80" s="1309">
        <v>0</v>
      </c>
    </row>
    <row r="81" spans="1:4" ht="15" customHeight="1">
      <c r="A81" s="1304" t="s">
        <v>672</v>
      </c>
      <c r="B81" s="1235">
        <v>444520</v>
      </c>
      <c r="C81" s="1239" t="s">
        <v>667</v>
      </c>
      <c r="D81" s="1309">
        <v>0</v>
      </c>
    </row>
    <row r="82" spans="1:4" s="1238" customFormat="1" ht="15" customHeight="1">
      <c r="A82" s="1305" t="s">
        <v>671</v>
      </c>
      <c r="B82" s="1236">
        <v>507550</v>
      </c>
      <c r="C82" s="1237" t="s">
        <v>667</v>
      </c>
      <c r="D82" s="1308">
        <v>16236</v>
      </c>
    </row>
    <row r="83" spans="1:4" ht="15" customHeight="1">
      <c r="A83" s="1497"/>
      <c r="B83" s="1498"/>
      <c r="C83" s="1498"/>
      <c r="D83" s="1499"/>
    </row>
    <row r="84" spans="1:4" ht="30.75" customHeight="1">
      <c r="A84" s="1310" t="s">
        <v>661</v>
      </c>
      <c r="B84" s="1500" t="s">
        <v>1101</v>
      </c>
      <c r="C84" s="1500"/>
      <c r="D84" s="1501"/>
    </row>
    <row r="85" spans="1:4" ht="15" customHeight="1">
      <c r="A85" s="1304" t="s">
        <v>674</v>
      </c>
      <c r="B85" s="1508">
        <v>41340</v>
      </c>
      <c r="C85" s="1508"/>
      <c r="D85" s="1509"/>
    </row>
    <row r="86" spans="1:4" ht="15" customHeight="1">
      <c r="A86" s="1304" t="s">
        <v>664</v>
      </c>
      <c r="B86" s="1504">
        <v>2013</v>
      </c>
      <c r="C86" s="1504"/>
      <c r="D86" s="1505"/>
    </row>
    <row r="87" spans="1:4" s="1238" customFormat="1" ht="15" customHeight="1">
      <c r="A87" s="1305" t="s">
        <v>666</v>
      </c>
      <c r="B87" s="1236">
        <v>90625</v>
      </c>
      <c r="C87" s="1237" t="s">
        <v>667</v>
      </c>
      <c r="D87" s="1306">
        <v>0</v>
      </c>
    </row>
    <row r="88" spans="1:4" ht="15" customHeight="1">
      <c r="A88" s="1304" t="s">
        <v>668</v>
      </c>
      <c r="B88" s="1235">
        <v>0</v>
      </c>
      <c r="C88" s="1239" t="s">
        <v>667</v>
      </c>
      <c r="D88" s="1307">
        <v>0</v>
      </c>
    </row>
    <row r="89" spans="1:4" ht="15" customHeight="1">
      <c r="A89" s="1304" t="s">
        <v>677</v>
      </c>
      <c r="B89" s="1235"/>
      <c r="C89" s="1239" t="s">
        <v>667</v>
      </c>
      <c r="D89" s="1307">
        <v>0</v>
      </c>
    </row>
    <row r="90" spans="1:4" ht="15" customHeight="1">
      <c r="A90" s="1304" t="s">
        <v>672</v>
      </c>
      <c r="B90" s="1235">
        <v>90625</v>
      </c>
      <c r="C90" s="1239" t="s">
        <v>667</v>
      </c>
      <c r="D90" s="1307">
        <v>0</v>
      </c>
    </row>
    <row r="91" spans="1:4" s="1238" customFormat="1" ht="15" customHeight="1">
      <c r="A91" s="1305" t="s">
        <v>671</v>
      </c>
      <c r="B91" s="1236">
        <v>90625</v>
      </c>
      <c r="C91" s="1237" t="s">
        <v>667</v>
      </c>
      <c r="D91" s="1306">
        <v>0</v>
      </c>
    </row>
    <row r="92" spans="1:4" ht="15" customHeight="1">
      <c r="A92" s="1497"/>
      <c r="B92" s="1498"/>
      <c r="C92" s="1498"/>
      <c r="D92" s="1499"/>
    </row>
    <row r="93" spans="1:4" ht="48" customHeight="1">
      <c r="A93" s="1310" t="s">
        <v>661</v>
      </c>
      <c r="B93" s="1500" t="s">
        <v>688</v>
      </c>
      <c r="C93" s="1500"/>
      <c r="D93" s="1501"/>
    </row>
    <row r="94" spans="1:4" ht="15" customHeight="1">
      <c r="A94" s="1304" t="s">
        <v>663</v>
      </c>
      <c r="B94" s="1519" t="s">
        <v>689</v>
      </c>
      <c r="C94" s="1519"/>
      <c r="D94" s="1520"/>
    </row>
    <row r="95" spans="1:4" ht="15" customHeight="1">
      <c r="A95" s="1304" t="s">
        <v>664</v>
      </c>
      <c r="B95" s="1504">
        <v>2013</v>
      </c>
      <c r="C95" s="1504"/>
      <c r="D95" s="1505"/>
    </row>
    <row r="96" spans="1:4" s="1238" customFormat="1" ht="15" customHeight="1">
      <c r="A96" s="1305" t="s">
        <v>666</v>
      </c>
      <c r="B96" s="1236">
        <v>49966</v>
      </c>
      <c r="C96" s="1237" t="s">
        <v>667</v>
      </c>
      <c r="D96" s="1306">
        <v>0</v>
      </c>
    </row>
    <row r="97" spans="1:4" ht="15" customHeight="1">
      <c r="A97" s="1304" t="s">
        <v>668</v>
      </c>
      <c r="B97" s="1235">
        <v>0</v>
      </c>
      <c r="C97" s="1239" t="s">
        <v>667</v>
      </c>
      <c r="D97" s="1307">
        <v>0</v>
      </c>
    </row>
    <row r="98" spans="1:4" ht="15" customHeight="1">
      <c r="A98" s="1304" t="s">
        <v>677</v>
      </c>
      <c r="B98" s="1235"/>
      <c r="C98" s="1239" t="s">
        <v>667</v>
      </c>
      <c r="D98" s="1307">
        <v>0</v>
      </c>
    </row>
    <row r="99" spans="1:4" ht="15" customHeight="1">
      <c r="A99" s="1304" t="s">
        <v>672</v>
      </c>
      <c r="B99" s="1235">
        <v>49966</v>
      </c>
      <c r="C99" s="1239" t="s">
        <v>667</v>
      </c>
      <c r="D99" s="1307">
        <v>0</v>
      </c>
    </row>
    <row r="100" spans="1:4" s="1238" customFormat="1" ht="15" customHeight="1">
      <c r="A100" s="1305" t="s">
        <v>671</v>
      </c>
      <c r="B100" s="1236">
        <v>49966</v>
      </c>
      <c r="C100" s="1237" t="s">
        <v>667</v>
      </c>
      <c r="D100" s="1306">
        <v>0</v>
      </c>
    </row>
    <row r="101" spans="1:4" ht="15" customHeight="1">
      <c r="A101" s="1497"/>
      <c r="B101" s="1498"/>
      <c r="C101" s="1498"/>
      <c r="D101" s="1499"/>
    </row>
    <row r="102" spans="1:4" ht="45.75" customHeight="1">
      <c r="A102" s="1310" t="s">
        <v>661</v>
      </c>
      <c r="B102" s="1500" t="s">
        <v>690</v>
      </c>
      <c r="C102" s="1500"/>
      <c r="D102" s="1501"/>
    </row>
    <row r="103" spans="1:4" ht="15" customHeight="1">
      <c r="A103" s="1304" t="s">
        <v>663</v>
      </c>
      <c r="B103" s="1519" t="s">
        <v>691</v>
      </c>
      <c r="C103" s="1519"/>
      <c r="D103" s="1520"/>
    </row>
    <row r="104" spans="1:4" ht="15" customHeight="1">
      <c r="A104" s="1304" t="s">
        <v>664</v>
      </c>
      <c r="B104" s="1506">
        <v>2013</v>
      </c>
      <c r="C104" s="1506"/>
      <c r="D104" s="1507"/>
    </row>
    <row r="105" spans="1:4" s="1238" customFormat="1" ht="15" customHeight="1">
      <c r="A105" s="1305" t="s">
        <v>666</v>
      </c>
      <c r="B105" s="1236">
        <v>15000</v>
      </c>
      <c r="C105" s="1237" t="s">
        <v>667</v>
      </c>
      <c r="D105" s="1306">
        <v>0</v>
      </c>
    </row>
    <row r="106" spans="1:4" ht="15" customHeight="1">
      <c r="A106" s="1304" t="s">
        <v>668</v>
      </c>
      <c r="B106" s="1235">
        <v>0</v>
      </c>
      <c r="C106" s="1239" t="s">
        <v>667</v>
      </c>
      <c r="D106" s="1307">
        <v>0</v>
      </c>
    </row>
    <row r="107" spans="1:4" ht="15" customHeight="1">
      <c r="A107" s="1304" t="s">
        <v>677</v>
      </c>
      <c r="B107" s="1235"/>
      <c r="C107" s="1239" t="s">
        <v>667</v>
      </c>
      <c r="D107" s="1307">
        <v>0</v>
      </c>
    </row>
    <row r="108" spans="1:4" ht="15" customHeight="1">
      <c r="A108" s="1304" t="s">
        <v>672</v>
      </c>
      <c r="B108" s="1235">
        <v>15000</v>
      </c>
      <c r="C108" s="1239" t="s">
        <v>667</v>
      </c>
      <c r="D108" s="1307">
        <v>0</v>
      </c>
    </row>
    <row r="109" spans="1:4" s="1238" customFormat="1" ht="15" customHeight="1">
      <c r="A109" s="1305" t="s">
        <v>671</v>
      </c>
      <c r="B109" s="1236">
        <v>15000</v>
      </c>
      <c r="C109" s="1237" t="s">
        <v>667</v>
      </c>
      <c r="D109" s="1306">
        <v>0</v>
      </c>
    </row>
    <row r="110" spans="1:4" ht="15" customHeight="1">
      <c r="A110" s="1497"/>
      <c r="B110" s="1498"/>
      <c r="C110" s="1498"/>
      <c r="D110" s="1499"/>
    </row>
    <row r="111" spans="1:4" ht="30" customHeight="1">
      <c r="A111" s="1310" t="s">
        <v>661</v>
      </c>
      <c r="B111" s="1500" t="s">
        <v>692</v>
      </c>
      <c r="C111" s="1500"/>
      <c r="D111" s="1501"/>
    </row>
    <row r="112" spans="1:4" ht="15" customHeight="1">
      <c r="A112" s="1304" t="s">
        <v>663</v>
      </c>
      <c r="B112" s="1502" t="s">
        <v>693</v>
      </c>
      <c r="C112" s="1502"/>
      <c r="D112" s="1503"/>
    </row>
    <row r="113" spans="1:4" ht="15" customHeight="1">
      <c r="A113" s="1304" t="s">
        <v>664</v>
      </c>
      <c r="B113" s="1506">
        <v>2013</v>
      </c>
      <c r="C113" s="1506"/>
      <c r="D113" s="1507"/>
    </row>
    <row r="114" spans="1:4" s="1238" customFormat="1" ht="15" customHeight="1">
      <c r="A114" s="1305" t="s">
        <v>666</v>
      </c>
      <c r="B114" s="1236">
        <v>44957</v>
      </c>
      <c r="C114" s="1237" t="s">
        <v>667</v>
      </c>
      <c r="D114" s="1306">
        <v>0</v>
      </c>
    </row>
    <row r="115" spans="1:4" ht="15" customHeight="1">
      <c r="A115" s="1304" t="s">
        <v>668</v>
      </c>
      <c r="B115" s="1235">
        <v>0</v>
      </c>
      <c r="C115" s="1239" t="s">
        <v>667</v>
      </c>
      <c r="D115" s="1307">
        <v>0</v>
      </c>
    </row>
    <row r="116" spans="1:4" ht="15" customHeight="1">
      <c r="A116" s="1304" t="s">
        <v>677</v>
      </c>
      <c r="B116" s="1235"/>
      <c r="C116" s="1239" t="s">
        <v>667</v>
      </c>
      <c r="D116" s="1307">
        <v>0</v>
      </c>
    </row>
    <row r="117" spans="1:4" ht="15" customHeight="1">
      <c r="A117" s="1304" t="s">
        <v>672</v>
      </c>
      <c r="B117" s="1235">
        <v>44957</v>
      </c>
      <c r="C117" s="1239" t="s">
        <v>667</v>
      </c>
      <c r="D117" s="1307">
        <v>0</v>
      </c>
    </row>
    <row r="118" spans="1:4" s="1238" customFormat="1" ht="15" customHeight="1">
      <c r="A118" s="1305" t="s">
        <v>671</v>
      </c>
      <c r="B118" s="1236">
        <v>44957</v>
      </c>
      <c r="C118" s="1237" t="s">
        <v>667</v>
      </c>
      <c r="D118" s="1306">
        <v>0</v>
      </c>
    </row>
    <row r="119" spans="1:4" ht="15" customHeight="1">
      <c r="A119" s="1497"/>
      <c r="B119" s="1498"/>
      <c r="C119" s="1498"/>
      <c r="D119" s="1499"/>
    </row>
    <row r="120" spans="1:4" ht="15" customHeight="1">
      <c r="A120" s="1310" t="s">
        <v>661</v>
      </c>
      <c r="B120" s="1500" t="s">
        <v>694</v>
      </c>
      <c r="C120" s="1500"/>
      <c r="D120" s="1501"/>
    </row>
    <row r="121" spans="1:4" ht="15" customHeight="1">
      <c r="A121" s="1304" t="s">
        <v>663</v>
      </c>
      <c r="B121" s="1502" t="s">
        <v>695</v>
      </c>
      <c r="C121" s="1502"/>
      <c r="D121" s="1503"/>
    </row>
    <row r="122" spans="1:4" ht="15" customHeight="1">
      <c r="A122" s="1304" t="s">
        <v>664</v>
      </c>
      <c r="B122" s="1504">
        <v>2013</v>
      </c>
      <c r="C122" s="1504"/>
      <c r="D122" s="1505"/>
    </row>
    <row r="123" spans="1:4" s="1238" customFormat="1" ht="15" customHeight="1">
      <c r="A123" s="1305" t="s">
        <v>666</v>
      </c>
      <c r="B123" s="1236">
        <v>52290</v>
      </c>
      <c r="C123" s="1237" t="s">
        <v>667</v>
      </c>
      <c r="D123" s="1306">
        <v>0</v>
      </c>
    </row>
    <row r="124" spans="1:4" ht="15" customHeight="1">
      <c r="A124" s="1304" t="s">
        <v>668</v>
      </c>
      <c r="B124" s="1235">
        <v>0</v>
      </c>
      <c r="C124" s="1239" t="s">
        <v>667</v>
      </c>
      <c r="D124" s="1307">
        <v>0</v>
      </c>
    </row>
    <row r="125" spans="1:4" ht="15" customHeight="1">
      <c r="A125" s="1304" t="s">
        <v>677</v>
      </c>
      <c r="B125" s="1235"/>
      <c r="C125" s="1239" t="s">
        <v>667</v>
      </c>
      <c r="D125" s="1307">
        <v>0</v>
      </c>
    </row>
    <row r="126" spans="1:4" ht="15" customHeight="1">
      <c r="A126" s="1304" t="s">
        <v>672</v>
      </c>
      <c r="B126" s="1235">
        <v>52290</v>
      </c>
      <c r="C126" s="1239" t="s">
        <v>667</v>
      </c>
      <c r="D126" s="1307">
        <v>0</v>
      </c>
    </row>
    <row r="127" spans="1:4" s="1238" customFormat="1" ht="15" customHeight="1">
      <c r="A127" s="1305" t="s">
        <v>671</v>
      </c>
      <c r="B127" s="1236">
        <v>52290</v>
      </c>
      <c r="C127" s="1237" t="s">
        <v>667</v>
      </c>
      <c r="D127" s="1306">
        <v>0</v>
      </c>
    </row>
    <row r="128" spans="1:4" ht="15" customHeight="1">
      <c r="A128" s="1497"/>
      <c r="B128" s="1498"/>
      <c r="C128" s="1498"/>
      <c r="D128" s="1499"/>
    </row>
    <row r="129" spans="1:4" ht="48.75" customHeight="1">
      <c r="A129" s="1310" t="s">
        <v>661</v>
      </c>
      <c r="B129" s="1500" t="s">
        <v>696</v>
      </c>
      <c r="C129" s="1500"/>
      <c r="D129" s="1501"/>
    </row>
    <row r="130" spans="1:4" ht="15" customHeight="1">
      <c r="A130" s="1304" t="s">
        <v>663</v>
      </c>
      <c r="B130" s="1508">
        <v>41191</v>
      </c>
      <c r="C130" s="1508"/>
      <c r="D130" s="1509"/>
    </row>
    <row r="131" spans="1:4" ht="15" customHeight="1">
      <c r="A131" s="1304" t="s">
        <v>664</v>
      </c>
      <c r="B131" s="1504">
        <v>2014</v>
      </c>
      <c r="C131" s="1504"/>
      <c r="D131" s="1505"/>
    </row>
    <row r="132" spans="1:4" s="1238" customFormat="1" ht="15" customHeight="1">
      <c r="A132" s="1305" t="s">
        <v>666</v>
      </c>
      <c r="B132" s="1236">
        <v>21760</v>
      </c>
      <c r="C132" s="1237" t="s">
        <v>667</v>
      </c>
      <c r="D132" s="1311">
        <v>5440</v>
      </c>
    </row>
    <row r="133" spans="1:4" ht="15" customHeight="1">
      <c r="A133" s="1304" t="s">
        <v>668</v>
      </c>
      <c r="B133" s="1235">
        <v>0</v>
      </c>
      <c r="C133" s="1239" t="s">
        <v>667</v>
      </c>
      <c r="D133" s="1307">
        <v>0</v>
      </c>
    </row>
    <row r="134" spans="1:4" ht="15" customHeight="1">
      <c r="A134" s="1304" t="s">
        <v>677</v>
      </c>
      <c r="B134" s="1235"/>
      <c r="C134" s="1239" t="s">
        <v>667</v>
      </c>
      <c r="D134" s="1307">
        <v>0</v>
      </c>
    </row>
    <row r="135" spans="1:4" ht="15" customHeight="1">
      <c r="A135" s="1304" t="s">
        <v>672</v>
      </c>
      <c r="B135" s="1235">
        <v>21760</v>
      </c>
      <c r="C135" s="1239" t="s">
        <v>667</v>
      </c>
      <c r="D135" s="1312">
        <v>5440</v>
      </c>
    </row>
    <row r="136" spans="1:4" s="1238" customFormat="1" ht="15" customHeight="1">
      <c r="A136" s="1305" t="s">
        <v>671</v>
      </c>
      <c r="B136" s="1236">
        <v>21760</v>
      </c>
      <c r="C136" s="1237" t="s">
        <v>667</v>
      </c>
      <c r="D136" s="1311">
        <v>2060</v>
      </c>
    </row>
    <row r="137" spans="1:4" s="1238" customFormat="1" ht="15" customHeight="1">
      <c r="A137" s="1510"/>
      <c r="B137" s="1511"/>
      <c r="C137" s="1511"/>
      <c r="D137" s="1512"/>
    </row>
    <row r="138" spans="1:4" s="1238" customFormat="1" ht="46.5" customHeight="1">
      <c r="A138" s="1310" t="s">
        <v>661</v>
      </c>
      <c r="B138" s="1513" t="s">
        <v>697</v>
      </c>
      <c r="C138" s="1514"/>
      <c r="D138" s="1515"/>
    </row>
    <row r="139" spans="1:4" s="1238" customFormat="1" ht="15" customHeight="1">
      <c r="A139" s="1304" t="s">
        <v>663</v>
      </c>
      <c r="B139" s="1516" t="s">
        <v>698</v>
      </c>
      <c r="C139" s="1517"/>
      <c r="D139" s="1518"/>
    </row>
    <row r="140" spans="1:4" s="1238" customFormat="1" ht="15" customHeight="1">
      <c r="A140" s="1304" t="s">
        <v>664</v>
      </c>
      <c r="B140" s="1516" t="s">
        <v>699</v>
      </c>
      <c r="C140" s="1517"/>
      <c r="D140" s="1518"/>
    </row>
    <row r="141" spans="1:4" s="1238" customFormat="1" ht="15" customHeight="1">
      <c r="A141" s="1305" t="s">
        <v>666</v>
      </c>
      <c r="B141" s="1240">
        <v>16041</v>
      </c>
      <c r="C141" s="1241" t="s">
        <v>667</v>
      </c>
      <c r="D141" s="1311">
        <v>2632</v>
      </c>
    </row>
    <row r="142" spans="1:4" s="1238" customFormat="1" ht="15" customHeight="1">
      <c r="A142" s="1304" t="s">
        <v>668</v>
      </c>
      <c r="B142" s="1242">
        <v>0</v>
      </c>
      <c r="C142" s="1243" t="s">
        <v>667</v>
      </c>
      <c r="D142" s="1307">
        <v>0</v>
      </c>
    </row>
    <row r="143" spans="1:4" s="1238" customFormat="1" ht="15" customHeight="1">
      <c r="A143" s="1304" t="s">
        <v>677</v>
      </c>
      <c r="B143" s="1240" t="s">
        <v>700</v>
      </c>
      <c r="C143" s="1243" t="s">
        <v>667</v>
      </c>
      <c r="D143" s="1307">
        <v>0</v>
      </c>
    </row>
    <row r="144" spans="1:4" s="1238" customFormat="1" ht="15" customHeight="1">
      <c r="A144" s="1304" t="s">
        <v>672</v>
      </c>
      <c r="B144" s="1242">
        <f>6739+9302</f>
        <v>16041</v>
      </c>
      <c r="C144" s="1243" t="s">
        <v>667</v>
      </c>
      <c r="D144" s="1312">
        <f>1238+1394</f>
        <v>2632</v>
      </c>
    </row>
    <row r="145" spans="1:4" s="1238" customFormat="1" ht="15" customHeight="1">
      <c r="A145" s="1305" t="s">
        <v>671</v>
      </c>
      <c r="B145" s="1240">
        <v>16041</v>
      </c>
      <c r="C145" s="1241" t="s">
        <v>667</v>
      </c>
      <c r="D145" s="1306">
        <v>0</v>
      </c>
    </row>
    <row r="146" spans="1:4" s="1238" customFormat="1" ht="15" customHeight="1">
      <c r="A146" s="1510"/>
      <c r="B146" s="1511"/>
      <c r="C146" s="1511"/>
      <c r="D146" s="1512"/>
    </row>
    <row r="147" spans="1:4" s="1238" customFormat="1" ht="15" customHeight="1">
      <c r="A147" s="1310" t="s">
        <v>661</v>
      </c>
      <c r="B147" s="1521" t="s">
        <v>701</v>
      </c>
      <c r="C147" s="1522"/>
      <c r="D147" s="1523"/>
    </row>
    <row r="148" spans="1:4" s="1238" customFormat="1" ht="15" customHeight="1">
      <c r="A148" s="1304" t="s">
        <v>663</v>
      </c>
      <c r="B148" s="1524">
        <v>41243</v>
      </c>
      <c r="C148" s="1525"/>
      <c r="D148" s="1526"/>
    </row>
    <row r="149" spans="1:4" s="1238" customFormat="1" ht="15" customHeight="1">
      <c r="A149" s="1304" t="s">
        <v>664</v>
      </c>
      <c r="B149" s="1524">
        <v>41304</v>
      </c>
      <c r="C149" s="1525"/>
      <c r="D149" s="1526"/>
    </row>
    <row r="150" spans="1:4" s="1238" customFormat="1" ht="15" customHeight="1">
      <c r="A150" s="1305" t="s">
        <v>666</v>
      </c>
      <c r="B150" s="1236">
        <v>6000</v>
      </c>
      <c r="C150" s="1237" t="s">
        <v>667</v>
      </c>
      <c r="D150" s="1311">
        <f>SUM(D151:D153)</f>
        <v>5992</v>
      </c>
    </row>
    <row r="151" spans="1:4" s="1238" customFormat="1" ht="15" customHeight="1">
      <c r="A151" s="1304" t="s">
        <v>668</v>
      </c>
      <c r="B151" s="1236"/>
      <c r="C151" s="1239" t="s">
        <v>667</v>
      </c>
      <c r="D151" s="1309">
        <f>D154-D153</f>
        <v>292</v>
      </c>
    </row>
    <row r="152" spans="1:4" s="1238" customFormat="1" ht="15" customHeight="1">
      <c r="A152" s="1304" t="s">
        <v>677</v>
      </c>
      <c r="B152" s="1236"/>
      <c r="C152" s="1239" t="s">
        <v>667</v>
      </c>
      <c r="D152" s="1307">
        <v>0</v>
      </c>
    </row>
    <row r="153" spans="1:4" s="1238" customFormat="1" ht="15" customHeight="1">
      <c r="A153" s="1304" t="s">
        <v>672</v>
      </c>
      <c r="B153" s="1235">
        <v>6000</v>
      </c>
      <c r="C153" s="1239" t="s">
        <v>667</v>
      </c>
      <c r="D153" s="1312">
        <v>5700</v>
      </c>
    </row>
    <row r="154" spans="1:4" s="1238" customFormat="1" ht="15" customHeight="1">
      <c r="A154" s="1305" t="s">
        <v>671</v>
      </c>
      <c r="B154" s="1236">
        <v>6000</v>
      </c>
      <c r="C154" s="1237" t="s">
        <v>667</v>
      </c>
      <c r="D154" s="1311">
        <v>5992</v>
      </c>
    </row>
    <row r="155" spans="1:4" s="1238" customFormat="1" ht="15" customHeight="1">
      <c r="A155" s="1510"/>
      <c r="B155" s="1511"/>
      <c r="C155" s="1511"/>
      <c r="D155" s="1512"/>
    </row>
    <row r="156" spans="1:4" s="1238" customFormat="1" ht="15" customHeight="1">
      <c r="A156" s="1310" t="s">
        <v>661</v>
      </c>
      <c r="B156" s="1521" t="s">
        <v>702</v>
      </c>
      <c r="C156" s="1522"/>
      <c r="D156" s="1523"/>
    </row>
    <row r="157" spans="1:4" s="1238" customFormat="1" ht="15" customHeight="1">
      <c r="A157" s="1304" t="s">
        <v>663</v>
      </c>
      <c r="B157" s="1527">
        <v>41229</v>
      </c>
      <c r="C157" s="1528"/>
      <c r="D157" s="1529"/>
    </row>
    <row r="158" spans="1:4" s="1238" customFormat="1" ht="15" customHeight="1">
      <c r="A158" s="1304" t="s">
        <v>664</v>
      </c>
      <c r="B158" s="1527">
        <v>41578</v>
      </c>
      <c r="C158" s="1528"/>
      <c r="D158" s="1529"/>
    </row>
    <row r="159" spans="1:4" s="1238" customFormat="1" ht="15" customHeight="1">
      <c r="A159" s="1305" t="s">
        <v>666</v>
      </c>
      <c r="B159" s="1236">
        <v>10000</v>
      </c>
      <c r="C159" s="1237" t="s">
        <v>667</v>
      </c>
      <c r="D159" s="1311">
        <v>2500</v>
      </c>
    </row>
    <row r="160" spans="1:4" s="1238" customFormat="1" ht="15" customHeight="1">
      <c r="A160" s="1304" t="s">
        <v>668</v>
      </c>
      <c r="B160" s="1235">
        <v>0</v>
      </c>
      <c r="C160" s="1239" t="s">
        <v>667</v>
      </c>
      <c r="D160" s="1309">
        <v>0</v>
      </c>
    </row>
    <row r="161" spans="1:4" s="1238" customFormat="1" ht="15" customHeight="1">
      <c r="A161" s="1304" t="s">
        <v>677</v>
      </c>
      <c r="B161" s="1235">
        <v>0</v>
      </c>
      <c r="C161" s="1239" t="s">
        <v>667</v>
      </c>
      <c r="D161" s="1307">
        <v>0</v>
      </c>
    </row>
    <row r="162" spans="1:4" s="1238" customFormat="1" ht="15" customHeight="1">
      <c r="A162" s="1304" t="s">
        <v>672</v>
      </c>
      <c r="B162" s="1235">
        <v>10000</v>
      </c>
      <c r="C162" s="1239" t="s">
        <v>667</v>
      </c>
      <c r="D162" s="1312">
        <v>2500</v>
      </c>
    </row>
    <row r="163" spans="1:4" s="1238" customFormat="1" ht="15" customHeight="1">
      <c r="A163" s="1305" t="s">
        <v>671</v>
      </c>
      <c r="B163" s="1236">
        <v>10000</v>
      </c>
      <c r="C163" s="1237" t="s">
        <v>667</v>
      </c>
      <c r="D163" s="1311">
        <v>2184</v>
      </c>
    </row>
    <row r="164" spans="1:4" s="1238" customFormat="1" ht="15" customHeight="1">
      <c r="A164" s="1510"/>
      <c r="B164" s="1511"/>
      <c r="C164" s="1511"/>
      <c r="D164" s="1512"/>
    </row>
    <row r="165" spans="1:4" s="1238" customFormat="1" ht="92.25" customHeight="1">
      <c r="A165" s="1310" t="s">
        <v>661</v>
      </c>
      <c r="B165" s="1513" t="s">
        <v>703</v>
      </c>
      <c r="C165" s="1514"/>
      <c r="D165" s="1515"/>
    </row>
    <row r="166" spans="1:4" s="1238" customFormat="1" ht="15" customHeight="1">
      <c r="A166" s="1304" t="s">
        <v>663</v>
      </c>
      <c r="B166" s="1530" t="s">
        <v>704</v>
      </c>
      <c r="C166" s="1530"/>
      <c r="D166" s="1531"/>
    </row>
    <row r="167" spans="1:4" s="1238" customFormat="1" ht="15" customHeight="1">
      <c r="A167" s="1304" t="s">
        <v>664</v>
      </c>
      <c r="B167" s="1530" t="s">
        <v>705</v>
      </c>
      <c r="C167" s="1530"/>
      <c r="D167" s="1531"/>
    </row>
    <row r="168" spans="1:4" s="1238" customFormat="1" ht="15" customHeight="1">
      <c r="A168" s="1305" t="s">
        <v>666</v>
      </c>
      <c r="B168" s="1244">
        <v>50533</v>
      </c>
      <c r="C168" s="1237" t="s">
        <v>667</v>
      </c>
      <c r="D168" s="1311">
        <v>15025</v>
      </c>
    </row>
    <row r="169" spans="1:4" s="1238" customFormat="1" ht="15" customHeight="1">
      <c r="A169" s="1304" t="s">
        <v>668</v>
      </c>
      <c r="B169" s="1245">
        <v>0</v>
      </c>
      <c r="C169" s="1239" t="s">
        <v>667</v>
      </c>
      <c r="D169" s="1309">
        <v>0</v>
      </c>
    </row>
    <row r="170" spans="1:4" s="1238" customFormat="1" ht="15" customHeight="1">
      <c r="A170" s="1304" t="s">
        <v>677</v>
      </c>
      <c r="B170" s="1244" t="s">
        <v>700</v>
      </c>
      <c r="C170" s="1239" t="s">
        <v>667</v>
      </c>
      <c r="D170" s="1307">
        <v>0</v>
      </c>
    </row>
    <row r="171" spans="1:4" s="1238" customFormat="1" ht="15" customHeight="1">
      <c r="A171" s="1304" t="s">
        <v>672</v>
      </c>
      <c r="B171" s="1245">
        <v>50533</v>
      </c>
      <c r="C171" s="1239" t="s">
        <v>667</v>
      </c>
      <c r="D171" s="1312">
        <v>15025</v>
      </c>
    </row>
    <row r="172" spans="1:4" s="1238" customFormat="1" ht="15" customHeight="1">
      <c r="A172" s="1305" t="s">
        <v>671</v>
      </c>
      <c r="B172" s="1244">
        <v>50533</v>
      </c>
      <c r="C172" s="1237" t="s">
        <v>667</v>
      </c>
      <c r="D172" s="1311">
        <v>15430</v>
      </c>
    </row>
    <row r="173" spans="1:4" s="1238" customFormat="1" ht="15" customHeight="1">
      <c r="A173" s="1305"/>
      <c r="B173" s="1236"/>
      <c r="C173" s="1237"/>
      <c r="D173" s="1306"/>
    </row>
    <row r="174" spans="1:4" s="1238" customFormat="1" ht="15" customHeight="1">
      <c r="A174" s="1310" t="s">
        <v>661</v>
      </c>
      <c r="B174" s="1521" t="s">
        <v>706</v>
      </c>
      <c r="C174" s="1522"/>
      <c r="D174" s="1523"/>
    </row>
    <row r="175" spans="1:4" s="1238" customFormat="1" ht="15" customHeight="1">
      <c r="A175" s="1304" t="s">
        <v>663</v>
      </c>
      <c r="B175" s="1532" t="s">
        <v>707</v>
      </c>
      <c r="C175" s="1533"/>
      <c r="D175" s="1534"/>
    </row>
    <row r="176" spans="1:4" s="1238" customFormat="1" ht="15" customHeight="1">
      <c r="A176" s="1304" t="s">
        <v>664</v>
      </c>
      <c r="B176" s="1535">
        <v>2011</v>
      </c>
      <c r="C176" s="1536"/>
      <c r="D176" s="1537"/>
    </row>
    <row r="177" spans="1:4" s="1238" customFormat="1" ht="15" customHeight="1">
      <c r="A177" s="1305" t="s">
        <v>666</v>
      </c>
      <c r="B177" s="1240">
        <f>SUM(B178:B180)</f>
        <v>65337</v>
      </c>
      <c r="C177" s="1241" t="s">
        <v>667</v>
      </c>
      <c r="D177" s="1311">
        <v>10035</v>
      </c>
    </row>
    <row r="178" spans="1:4" s="1238" customFormat="1" ht="15" customHeight="1">
      <c r="A178" s="1304" t="s">
        <v>668</v>
      </c>
      <c r="B178" s="1242">
        <f>B181-B180</f>
        <v>22521</v>
      </c>
      <c r="C178" s="1243" t="s">
        <v>667</v>
      </c>
      <c r="D178" s="1309">
        <v>0</v>
      </c>
    </row>
    <row r="179" spans="1:4" s="1238" customFormat="1" ht="15" customHeight="1">
      <c r="A179" s="1304" t="s">
        <v>677</v>
      </c>
      <c r="B179" s="1242"/>
      <c r="C179" s="1243" t="s">
        <v>667</v>
      </c>
      <c r="D179" s="1307">
        <v>0</v>
      </c>
    </row>
    <row r="180" spans="1:4" s="1238" customFormat="1" ht="15" customHeight="1">
      <c r="A180" s="1304" t="s">
        <v>672</v>
      </c>
      <c r="B180" s="1242">
        <v>42816</v>
      </c>
      <c r="C180" s="1243" t="s">
        <v>667</v>
      </c>
      <c r="D180" s="1312">
        <v>10035</v>
      </c>
    </row>
    <row r="181" spans="1:4" s="1238" customFormat="1" ht="15" customHeight="1">
      <c r="A181" s="1305" t="s">
        <v>671</v>
      </c>
      <c r="B181" s="1240">
        <v>65337</v>
      </c>
      <c r="C181" s="1241" t="s">
        <v>667</v>
      </c>
      <c r="D181" s="1311">
        <v>10035</v>
      </c>
    </row>
    <row r="182" spans="1:4" s="1238" customFormat="1" ht="15" customHeight="1">
      <c r="A182" s="1305"/>
      <c r="B182" s="1240"/>
      <c r="C182" s="1241"/>
      <c r="D182" s="1311"/>
    </row>
    <row r="183" spans="1:4" s="1238" customFormat="1" ht="30.75" customHeight="1">
      <c r="A183" s="1310" t="s">
        <v>661</v>
      </c>
      <c r="B183" s="1538" t="s">
        <v>708</v>
      </c>
      <c r="C183" s="1539"/>
      <c r="D183" s="1540"/>
    </row>
    <row r="184" spans="1:4" s="1238" customFormat="1" ht="15" customHeight="1">
      <c r="A184" s="1304" t="s">
        <v>663</v>
      </c>
      <c r="B184" s="1532" t="s">
        <v>709</v>
      </c>
      <c r="C184" s="1533"/>
      <c r="D184" s="1534"/>
    </row>
    <row r="185" spans="1:4" s="1238" customFormat="1" ht="15" customHeight="1">
      <c r="A185" s="1304" t="s">
        <v>664</v>
      </c>
      <c r="B185" s="1532" t="s">
        <v>710</v>
      </c>
      <c r="C185" s="1533"/>
      <c r="D185" s="1534"/>
    </row>
    <row r="186" spans="1:4" s="1238" customFormat="1" ht="15" customHeight="1">
      <c r="A186" s="1305" t="s">
        <v>666</v>
      </c>
      <c r="B186" s="1240">
        <f>SUM(B187:B189)</f>
        <v>155758</v>
      </c>
      <c r="C186" s="1241" t="s">
        <v>667</v>
      </c>
      <c r="D186" s="1311">
        <v>56274</v>
      </c>
    </row>
    <row r="187" spans="1:4" s="1238" customFormat="1" ht="15" customHeight="1">
      <c r="A187" s="1304" t="s">
        <v>668</v>
      </c>
      <c r="B187" s="1242">
        <f>B190-B189</f>
        <v>23977</v>
      </c>
      <c r="C187" s="1243" t="s">
        <v>667</v>
      </c>
      <c r="D187" s="1309">
        <v>0</v>
      </c>
    </row>
    <row r="188" spans="1:4" s="1238" customFormat="1" ht="15" customHeight="1">
      <c r="A188" s="1304" t="s">
        <v>677</v>
      </c>
      <c r="B188" s="1242"/>
      <c r="C188" s="1243" t="s">
        <v>667</v>
      </c>
      <c r="D188" s="1307">
        <v>0</v>
      </c>
    </row>
    <row r="189" spans="1:4" s="1238" customFormat="1" ht="15" customHeight="1">
      <c r="A189" s="1304" t="s">
        <v>672</v>
      </c>
      <c r="B189" s="1242">
        <v>131781</v>
      </c>
      <c r="C189" s="1243" t="s">
        <v>667</v>
      </c>
      <c r="D189" s="1312">
        <v>56274</v>
      </c>
    </row>
    <row r="190" spans="1:4" s="1238" customFormat="1" ht="15" customHeight="1">
      <c r="A190" s="1305" t="s">
        <v>671</v>
      </c>
      <c r="B190" s="1240">
        <v>155758</v>
      </c>
      <c r="C190" s="1241" t="s">
        <v>667</v>
      </c>
      <c r="D190" s="1311">
        <f>39152+9238</f>
        <v>48390</v>
      </c>
    </row>
    <row r="191" spans="1:4" s="1238" customFormat="1" ht="15" customHeight="1">
      <c r="A191" s="1305"/>
      <c r="B191" s="1240"/>
      <c r="C191" s="1241"/>
      <c r="D191" s="1311"/>
    </row>
    <row r="192" spans="1:4" s="1238" customFormat="1" ht="60.75" customHeight="1">
      <c r="A192" s="1310" t="s">
        <v>661</v>
      </c>
      <c r="B192" s="1541" t="s">
        <v>711</v>
      </c>
      <c r="C192" s="1541"/>
      <c r="D192" s="1542"/>
    </row>
    <row r="193" spans="1:4" s="1238" customFormat="1" ht="15" customHeight="1">
      <c r="A193" s="1304" t="s">
        <v>663</v>
      </c>
      <c r="B193" s="1543">
        <v>2011</v>
      </c>
      <c r="C193" s="1543"/>
      <c r="D193" s="1544"/>
    </row>
    <row r="194" spans="1:4" s="1238" customFormat="1" ht="15" customHeight="1">
      <c r="A194" s="1304" t="s">
        <v>664</v>
      </c>
      <c r="B194" s="1545">
        <v>2011</v>
      </c>
      <c r="C194" s="1546"/>
      <c r="D194" s="1547"/>
    </row>
    <row r="195" spans="1:4" s="1238" customFormat="1" ht="15" customHeight="1">
      <c r="A195" s="1305" t="s">
        <v>666</v>
      </c>
      <c r="B195" s="1244">
        <v>64210</v>
      </c>
      <c r="C195" s="1241" t="s">
        <v>667</v>
      </c>
      <c r="D195" s="1311">
        <v>4403</v>
      </c>
    </row>
    <row r="196" spans="1:4" s="1238" customFormat="1" ht="15" customHeight="1">
      <c r="A196" s="1304" t="s">
        <v>668</v>
      </c>
      <c r="B196" s="1245">
        <v>0</v>
      </c>
      <c r="C196" s="1243" t="s">
        <v>667</v>
      </c>
      <c r="D196" s="1309">
        <v>0</v>
      </c>
    </row>
    <row r="197" spans="1:4" s="1238" customFormat="1" ht="15" customHeight="1">
      <c r="A197" s="1304" t="s">
        <v>677</v>
      </c>
      <c r="B197" s="1245"/>
      <c r="C197" s="1243" t="s">
        <v>667</v>
      </c>
      <c r="D197" s="1307">
        <v>0</v>
      </c>
    </row>
    <row r="198" spans="1:4" s="1238" customFormat="1" ht="15" customHeight="1">
      <c r="A198" s="1304" t="s">
        <v>672</v>
      </c>
      <c r="B198" s="1245">
        <v>64210</v>
      </c>
      <c r="C198" s="1243" t="s">
        <v>667</v>
      </c>
      <c r="D198" s="1312">
        <v>4403</v>
      </c>
    </row>
    <row r="199" spans="1:4" s="1238" customFormat="1" ht="15" customHeight="1">
      <c r="A199" s="1305" t="s">
        <v>671</v>
      </c>
      <c r="B199" s="1244">
        <v>64210</v>
      </c>
      <c r="C199" s="1241" t="s">
        <v>667</v>
      </c>
      <c r="D199" s="1311">
        <v>0</v>
      </c>
    </row>
    <row r="200" spans="1:4" ht="15" customHeight="1">
      <c r="A200" s="1497"/>
      <c r="B200" s="1498"/>
      <c r="C200" s="1498"/>
      <c r="D200" s="1499"/>
    </row>
    <row r="201" spans="1:4" ht="15" customHeight="1">
      <c r="A201" s="1310" t="s">
        <v>661</v>
      </c>
      <c r="B201" s="1500" t="s">
        <v>712</v>
      </c>
      <c r="C201" s="1500"/>
      <c r="D201" s="1501"/>
    </row>
    <row r="202" spans="1:4" ht="15" customHeight="1">
      <c r="A202" s="1304" t="s">
        <v>663</v>
      </c>
      <c r="B202" s="1502" t="s">
        <v>713</v>
      </c>
      <c r="C202" s="1502"/>
      <c r="D202" s="1503"/>
    </row>
    <row r="203" spans="1:4" ht="15" customHeight="1">
      <c r="A203" s="1304" t="s">
        <v>664</v>
      </c>
      <c r="B203" s="1506">
        <v>2014</v>
      </c>
      <c r="C203" s="1506"/>
      <c r="D203" s="1507"/>
    </row>
    <row r="204" spans="1:4" s="1238" customFormat="1" ht="15" customHeight="1">
      <c r="A204" s="1305" t="s">
        <v>666</v>
      </c>
      <c r="B204" s="1236">
        <v>1874</v>
      </c>
      <c r="C204" s="1237" t="s">
        <v>667</v>
      </c>
      <c r="D204" s="1306">
        <v>0</v>
      </c>
    </row>
    <row r="205" spans="1:4" ht="15" customHeight="1">
      <c r="A205" s="1304" t="s">
        <v>668</v>
      </c>
      <c r="B205" s="1235">
        <v>0</v>
      </c>
      <c r="C205" s="1239" t="s">
        <v>667</v>
      </c>
      <c r="D205" s="1307">
        <v>0</v>
      </c>
    </row>
    <row r="206" spans="1:4" ht="15" customHeight="1">
      <c r="A206" s="1304" t="s">
        <v>677</v>
      </c>
      <c r="B206" s="1235"/>
      <c r="C206" s="1239" t="s">
        <v>667</v>
      </c>
      <c r="D206" s="1307">
        <v>0</v>
      </c>
    </row>
    <row r="207" spans="1:4" ht="15" customHeight="1">
      <c r="A207" s="1304" t="s">
        <v>672</v>
      </c>
      <c r="B207" s="1235">
        <v>1874</v>
      </c>
      <c r="C207" s="1239" t="s">
        <v>667</v>
      </c>
      <c r="D207" s="1307">
        <v>0</v>
      </c>
    </row>
    <row r="208" spans="1:4" s="1238" customFormat="1" ht="15" customHeight="1" thickBot="1">
      <c r="A208" s="1313" t="s">
        <v>671</v>
      </c>
      <c r="B208" s="1314">
        <v>1874</v>
      </c>
      <c r="C208" s="1315" t="s">
        <v>667</v>
      </c>
      <c r="D208" s="1316">
        <v>0</v>
      </c>
    </row>
  </sheetData>
  <mergeCells count="88">
    <mergeCell ref="B185:D185"/>
    <mergeCell ref="B192:D192"/>
    <mergeCell ref="B193:D193"/>
    <mergeCell ref="B194:D194"/>
    <mergeCell ref="B175:D175"/>
    <mergeCell ref="B176:D176"/>
    <mergeCell ref="B183:D183"/>
    <mergeCell ref="B184:D184"/>
    <mergeCell ref="B166:D166"/>
    <mergeCell ref="B167:D167"/>
    <mergeCell ref="A164:D164"/>
    <mergeCell ref="B174:D174"/>
    <mergeCell ref="B156:D156"/>
    <mergeCell ref="B157:D157"/>
    <mergeCell ref="B158:D158"/>
    <mergeCell ref="B165:D165"/>
    <mergeCell ref="B147:D147"/>
    <mergeCell ref="B148:D148"/>
    <mergeCell ref="B149:D149"/>
    <mergeCell ref="A155:D155"/>
    <mergeCell ref="B32:D32"/>
    <mergeCell ref="B39:D39"/>
    <mergeCell ref="B12:D12"/>
    <mergeCell ref="B4:D4"/>
    <mergeCell ref="B5:D5"/>
    <mergeCell ref="B13:D13"/>
    <mergeCell ref="B14:D14"/>
    <mergeCell ref="B21:D21"/>
    <mergeCell ref="B22:D22"/>
    <mergeCell ref="B23:D23"/>
    <mergeCell ref="B40:D40"/>
    <mergeCell ref="B41:D41"/>
    <mergeCell ref="B48:D48"/>
    <mergeCell ref="A11:D11"/>
    <mergeCell ref="A20:D20"/>
    <mergeCell ref="A29:D29"/>
    <mergeCell ref="A38:D38"/>
    <mergeCell ref="A47:D47"/>
    <mergeCell ref="B30:D30"/>
    <mergeCell ref="B31:D31"/>
    <mergeCell ref="B49:D49"/>
    <mergeCell ref="B50:D50"/>
    <mergeCell ref="A56:D56"/>
    <mergeCell ref="B57:D57"/>
    <mergeCell ref="B58:D58"/>
    <mergeCell ref="B59:D59"/>
    <mergeCell ref="B66:D66"/>
    <mergeCell ref="B67:D67"/>
    <mergeCell ref="A65:D65"/>
    <mergeCell ref="B68:D68"/>
    <mergeCell ref="A74:D74"/>
    <mergeCell ref="B75:D75"/>
    <mergeCell ref="B76:D76"/>
    <mergeCell ref="B77:D77"/>
    <mergeCell ref="B84:D84"/>
    <mergeCell ref="B85:D85"/>
    <mergeCell ref="B86:D86"/>
    <mergeCell ref="A83:D83"/>
    <mergeCell ref="A92:D92"/>
    <mergeCell ref="B93:D93"/>
    <mergeCell ref="B94:D94"/>
    <mergeCell ref="B95:D95"/>
    <mergeCell ref="B113:D113"/>
    <mergeCell ref="A110:D110"/>
    <mergeCell ref="B102:D102"/>
    <mergeCell ref="A101:D101"/>
    <mergeCell ref="B103:D103"/>
    <mergeCell ref="B104:D104"/>
    <mergeCell ref="B203:D203"/>
    <mergeCell ref="B129:D129"/>
    <mergeCell ref="A128:D128"/>
    <mergeCell ref="B130:D130"/>
    <mergeCell ref="B131:D131"/>
    <mergeCell ref="A137:D137"/>
    <mergeCell ref="B138:D138"/>
    <mergeCell ref="B139:D139"/>
    <mergeCell ref="B140:D140"/>
    <mergeCell ref="A146:D146"/>
    <mergeCell ref="A1:D1"/>
    <mergeCell ref="A200:D200"/>
    <mergeCell ref="B201:D201"/>
    <mergeCell ref="B202:D202"/>
    <mergeCell ref="A119:D119"/>
    <mergeCell ref="B120:D120"/>
    <mergeCell ref="B121:D121"/>
    <mergeCell ref="B122:D122"/>
    <mergeCell ref="B111:D111"/>
    <mergeCell ref="B112:D112"/>
  </mergeCells>
  <printOptions horizontalCentered="1"/>
  <pageMargins left="0" right="0" top="0.71" bottom="0" header="0.36" footer="0"/>
  <pageSetup horizontalDpi="600" verticalDpi="600" orientation="portrait" paperSize="9" scale="70" r:id="rId1"/>
  <headerFooter alignWithMargins="0">
    <oddHeader>&amp;L&amp;8 16. melléklet a 14/2013.(V.2.) önkormányzati rendelethez</oddHeader>
  </headerFooter>
  <rowBreaks count="3" manualBreakCount="3">
    <brk id="56" max="3" man="1"/>
    <brk id="119" max="3" man="1"/>
    <brk id="173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R68"/>
  <sheetViews>
    <sheetView view="pageBreakPreview" zoomScaleSheetLayoutView="100" workbookViewId="0" topLeftCell="C1">
      <selection activeCell="D11" sqref="D11"/>
    </sheetView>
  </sheetViews>
  <sheetFormatPr defaultColWidth="9.00390625" defaultRowHeight="12.75"/>
  <cols>
    <col min="1" max="1" width="51.375" style="950" customWidth="1"/>
    <col min="2" max="2" width="11.75390625" style="950" customWidth="1"/>
    <col min="3" max="3" width="16.00390625" style="950" customWidth="1"/>
    <col min="4" max="4" width="13.875" style="950" customWidth="1"/>
    <col min="5" max="5" width="52.75390625" style="950" customWidth="1"/>
    <col min="6" max="6" width="11.125" style="950" customWidth="1"/>
    <col min="7" max="7" width="13.875" style="950" customWidth="1"/>
    <col min="8" max="8" width="12.25390625" style="950" customWidth="1"/>
    <col min="9" max="16384" width="9.125" style="950" customWidth="1"/>
  </cols>
  <sheetData>
    <row r="1" spans="1:5" ht="12.75">
      <c r="A1" s="947"/>
      <c r="B1" s="948"/>
      <c r="C1" s="948"/>
      <c r="D1" s="948"/>
      <c r="E1" s="949"/>
    </row>
    <row r="2" ht="12" customHeight="1"/>
    <row r="3" spans="1:8" s="951" customFormat="1" ht="15" customHeight="1">
      <c r="A3" s="1337" t="s">
        <v>442</v>
      </c>
      <c r="B3" s="1337"/>
      <c r="C3" s="1337"/>
      <c r="D3" s="1337"/>
      <c r="E3" s="1337"/>
      <c r="F3" s="1337"/>
      <c r="G3" s="1337"/>
      <c r="H3" s="1337"/>
    </row>
    <row r="4" spans="1:5" ht="9.75" customHeight="1" thickBot="1">
      <c r="A4" s="952"/>
      <c r="B4" s="952"/>
      <c r="C4" s="952"/>
      <c r="D4" s="952"/>
      <c r="E4" s="952"/>
    </row>
    <row r="5" spans="1:8" ht="14.25" customHeight="1">
      <c r="A5" s="1334" t="s">
        <v>760</v>
      </c>
      <c r="B5" s="1335"/>
      <c r="C5" s="1335"/>
      <c r="D5" s="1336"/>
      <c r="E5" s="1334" t="s">
        <v>761</v>
      </c>
      <c r="F5" s="1335"/>
      <c r="G5" s="1335"/>
      <c r="H5" s="1336"/>
    </row>
    <row r="6" spans="1:8" ht="27.75" customHeight="1" thickBot="1">
      <c r="A6" s="953"/>
      <c r="B6" s="954" t="s">
        <v>753</v>
      </c>
      <c r="C6" s="955" t="s">
        <v>550</v>
      </c>
      <c r="D6" s="956" t="s">
        <v>535</v>
      </c>
      <c r="E6" s="953"/>
      <c r="F6" s="954" t="s">
        <v>753</v>
      </c>
      <c r="G6" s="955" t="s">
        <v>550</v>
      </c>
      <c r="H6" s="956" t="s">
        <v>535</v>
      </c>
    </row>
    <row r="7" spans="1:8" ht="15">
      <c r="A7" s="957" t="s">
        <v>772</v>
      </c>
      <c r="B7" s="958">
        <v>9000</v>
      </c>
      <c r="C7" s="959">
        <v>9000</v>
      </c>
      <c r="D7" s="960">
        <v>10207</v>
      </c>
      <c r="E7" s="961" t="s">
        <v>441</v>
      </c>
      <c r="F7" s="958">
        <v>1689559</v>
      </c>
      <c r="G7" s="962">
        <v>1511795</v>
      </c>
      <c r="H7" s="963">
        <v>1481205</v>
      </c>
    </row>
    <row r="8" spans="1:8" ht="15">
      <c r="A8" s="957" t="s">
        <v>443</v>
      </c>
      <c r="B8" s="958">
        <v>251021</v>
      </c>
      <c r="C8" s="964">
        <v>293688</v>
      </c>
      <c r="D8" s="965">
        <v>356229</v>
      </c>
      <c r="E8" s="966" t="s">
        <v>919</v>
      </c>
      <c r="F8" s="967">
        <v>459656</v>
      </c>
      <c r="G8" s="968">
        <v>399989</v>
      </c>
      <c r="H8" s="969">
        <v>393164</v>
      </c>
    </row>
    <row r="9" spans="1:8" ht="15">
      <c r="A9" s="966" t="s">
        <v>605</v>
      </c>
      <c r="B9" s="967">
        <v>1883807</v>
      </c>
      <c r="C9" s="964">
        <v>1983222</v>
      </c>
      <c r="D9" s="965">
        <v>2094746</v>
      </c>
      <c r="E9" s="970" t="s">
        <v>444</v>
      </c>
      <c r="F9" s="967">
        <v>1340843</v>
      </c>
      <c r="G9" s="968">
        <v>1367599</v>
      </c>
      <c r="H9" s="969">
        <v>1269970</v>
      </c>
    </row>
    <row r="10" spans="1:8" ht="15">
      <c r="A10" s="966" t="s">
        <v>445</v>
      </c>
      <c r="B10" s="967">
        <v>975132</v>
      </c>
      <c r="C10" s="964">
        <v>1030375</v>
      </c>
      <c r="D10" s="965">
        <v>1030375</v>
      </c>
      <c r="E10" s="966" t="s">
        <v>446</v>
      </c>
      <c r="F10" s="967">
        <v>346470</v>
      </c>
      <c r="G10" s="968">
        <v>395864</v>
      </c>
      <c r="H10" s="969">
        <v>353714</v>
      </c>
    </row>
    <row r="11" spans="1:8" ht="15">
      <c r="A11" s="966" t="s">
        <v>617</v>
      </c>
      <c r="B11" s="967">
        <v>932618</v>
      </c>
      <c r="C11" s="964">
        <v>488241</v>
      </c>
      <c r="D11" s="965">
        <v>482943</v>
      </c>
      <c r="E11" s="966" t="s">
        <v>447</v>
      </c>
      <c r="F11" s="967">
        <v>201850</v>
      </c>
      <c r="G11" s="968">
        <v>188360</v>
      </c>
      <c r="H11" s="969">
        <v>172842</v>
      </c>
    </row>
    <row r="12" spans="1:8" ht="15">
      <c r="A12" s="966" t="s">
        <v>448</v>
      </c>
      <c r="B12" s="967">
        <v>80700</v>
      </c>
      <c r="C12" s="964">
        <v>84500</v>
      </c>
      <c r="D12" s="965">
        <v>14860</v>
      </c>
      <c r="E12" s="966" t="s">
        <v>764</v>
      </c>
      <c r="F12" s="967">
        <v>9420</v>
      </c>
      <c r="G12" s="968">
        <v>8362</v>
      </c>
      <c r="H12" s="969">
        <v>8362</v>
      </c>
    </row>
    <row r="13" spans="1:8" ht="15">
      <c r="A13" s="971"/>
      <c r="B13" s="972"/>
      <c r="C13" s="973"/>
      <c r="D13" s="974"/>
      <c r="E13" s="966" t="s">
        <v>796</v>
      </c>
      <c r="F13" s="967">
        <v>13000</v>
      </c>
      <c r="G13" s="968">
        <v>11</v>
      </c>
      <c r="H13" s="969"/>
    </row>
    <row r="14" spans="1:8" ht="15">
      <c r="A14" s="966" t="s">
        <v>816</v>
      </c>
      <c r="B14" s="967"/>
      <c r="C14" s="964">
        <v>123334</v>
      </c>
      <c r="D14" s="965">
        <v>630300</v>
      </c>
      <c r="E14" s="975" t="s">
        <v>449</v>
      </c>
      <c r="F14" s="967">
        <v>136000</v>
      </c>
      <c r="G14" s="968">
        <v>43351</v>
      </c>
      <c r="H14" s="969"/>
    </row>
    <row r="15" spans="1:8" ht="15">
      <c r="A15" s="966" t="s">
        <v>528</v>
      </c>
      <c r="B15" s="977"/>
      <c r="C15" s="968"/>
      <c r="D15" s="969">
        <v>31295</v>
      </c>
      <c r="E15" s="978" t="s">
        <v>450</v>
      </c>
      <c r="F15" s="967">
        <f>SUM(F16:F17)</f>
        <v>23408</v>
      </c>
      <c r="G15" s="968">
        <v>30907</v>
      </c>
      <c r="H15" s="969">
        <v>2499</v>
      </c>
    </row>
    <row r="16" spans="1:8" ht="15">
      <c r="A16" s="966"/>
      <c r="B16" s="972"/>
      <c r="C16" s="973"/>
      <c r="D16" s="974"/>
      <c r="E16" s="979" t="s">
        <v>451</v>
      </c>
      <c r="F16" s="972">
        <v>22200</v>
      </c>
      <c r="G16" s="968">
        <v>27200</v>
      </c>
      <c r="H16" s="969"/>
    </row>
    <row r="17" spans="1:8" ht="15">
      <c r="A17" s="966"/>
      <c r="B17" s="972"/>
      <c r="C17" s="973"/>
      <c r="D17" s="974"/>
      <c r="E17" s="979" t="s">
        <v>452</v>
      </c>
      <c r="F17" s="972">
        <v>1208</v>
      </c>
      <c r="G17" s="968">
        <v>3707</v>
      </c>
      <c r="H17" s="969">
        <v>2499</v>
      </c>
    </row>
    <row r="18" spans="1:8" ht="15">
      <c r="A18" s="976"/>
      <c r="B18" s="977"/>
      <c r="C18" s="968"/>
      <c r="D18" s="969"/>
      <c r="E18" s="966" t="s">
        <v>453</v>
      </c>
      <c r="F18" s="967">
        <f>SUM(F19:F19)</f>
        <v>2500</v>
      </c>
      <c r="G18" s="968">
        <v>65057</v>
      </c>
      <c r="H18" s="969">
        <v>65057</v>
      </c>
    </row>
    <row r="19" spans="1:8" ht="15">
      <c r="A19" s="966"/>
      <c r="B19" s="972"/>
      <c r="C19" s="973"/>
      <c r="D19" s="974"/>
      <c r="E19" s="971" t="s">
        <v>454</v>
      </c>
      <c r="F19" s="972">
        <v>2500</v>
      </c>
      <c r="G19" s="968">
        <v>2500</v>
      </c>
      <c r="H19" s="969">
        <v>2500</v>
      </c>
    </row>
    <row r="20" spans="1:8" ht="15">
      <c r="A20" s="966"/>
      <c r="B20" s="972"/>
      <c r="C20" s="973"/>
      <c r="D20" s="974"/>
      <c r="E20" s="966" t="s">
        <v>455</v>
      </c>
      <c r="F20" s="967"/>
      <c r="G20" s="968">
        <v>2000</v>
      </c>
      <c r="H20" s="969">
        <v>2000</v>
      </c>
    </row>
    <row r="21" spans="1:8" ht="15">
      <c r="A21" s="966"/>
      <c r="B21" s="972"/>
      <c r="C21" s="973"/>
      <c r="D21" s="974"/>
      <c r="E21" s="966" t="s">
        <v>456</v>
      </c>
      <c r="F21" s="967"/>
      <c r="G21" s="968">
        <v>17741</v>
      </c>
      <c r="H21" s="969">
        <v>17741</v>
      </c>
    </row>
    <row r="22" spans="1:8" ht="15">
      <c r="A22" s="966"/>
      <c r="B22" s="972"/>
      <c r="C22" s="980"/>
      <c r="D22" s="974"/>
      <c r="E22" s="981" t="s">
        <v>457</v>
      </c>
      <c r="F22" s="982"/>
      <c r="G22" s="968">
        <v>3000</v>
      </c>
      <c r="H22" s="969">
        <v>3000</v>
      </c>
    </row>
    <row r="23" spans="1:8" ht="15">
      <c r="A23" s="966"/>
      <c r="B23" s="972"/>
      <c r="C23" s="980"/>
      <c r="D23" s="974"/>
      <c r="E23" s="981" t="s">
        <v>458</v>
      </c>
      <c r="F23" s="982"/>
      <c r="G23" s="968">
        <v>39816</v>
      </c>
      <c r="H23" s="969">
        <v>39816</v>
      </c>
    </row>
    <row r="24" spans="1:8" ht="15">
      <c r="A24" s="966"/>
      <c r="B24" s="972"/>
      <c r="C24" s="973"/>
      <c r="D24" s="974"/>
      <c r="E24" s="966" t="s">
        <v>459</v>
      </c>
      <c r="F24" s="967"/>
      <c r="G24" s="968">
        <v>123538</v>
      </c>
      <c r="H24" s="969">
        <v>184897</v>
      </c>
    </row>
    <row r="25" spans="1:8" ht="15.75" thickBot="1">
      <c r="A25" s="1075"/>
      <c r="B25" s="1076"/>
      <c r="C25" s="1077"/>
      <c r="D25" s="1078"/>
      <c r="E25" s="1079" t="s">
        <v>1003</v>
      </c>
      <c r="F25" s="1044"/>
      <c r="G25" s="991"/>
      <c r="H25" s="1073">
        <v>461365</v>
      </c>
    </row>
    <row r="26" spans="1:252" s="992" customFormat="1" ht="15" thickBot="1">
      <c r="A26" s="985" t="s">
        <v>768</v>
      </c>
      <c r="B26" s="986">
        <f>SUM(B7:B12)</f>
        <v>4132278</v>
      </c>
      <c r="C26" s="987">
        <f>SUM(C7:C14)</f>
        <v>4012360</v>
      </c>
      <c r="D26" s="988">
        <f>SUM(D7:D16)</f>
        <v>4650955</v>
      </c>
      <c r="E26" s="989" t="s">
        <v>769</v>
      </c>
      <c r="F26" s="986">
        <f>SUM(F7:F15,F18)</f>
        <v>4222706</v>
      </c>
      <c r="G26" s="990">
        <f>SUM(G7:G15,G18,G24)</f>
        <v>4134833</v>
      </c>
      <c r="H26" s="1081">
        <f>SUM(H7+H8+H9+H10+H11+H12+H15+H18+H24+H25)</f>
        <v>4393075</v>
      </c>
      <c r="I26" s="991"/>
      <c r="J26" s="991"/>
      <c r="K26" s="991"/>
      <c r="L26" s="991"/>
      <c r="M26" s="991"/>
      <c r="N26" s="991"/>
      <c r="O26" s="991"/>
      <c r="P26" s="991"/>
      <c r="Q26" s="991"/>
      <c r="R26" s="991"/>
      <c r="S26" s="991"/>
      <c r="T26" s="991"/>
      <c r="U26" s="991"/>
      <c r="V26" s="991"/>
      <c r="W26" s="991"/>
      <c r="X26" s="991"/>
      <c r="Y26" s="991"/>
      <c r="Z26" s="991"/>
      <c r="AA26" s="991"/>
      <c r="AB26" s="991"/>
      <c r="AC26" s="991"/>
      <c r="AD26" s="991"/>
      <c r="AE26" s="991"/>
      <c r="AF26" s="991"/>
      <c r="AG26" s="991"/>
      <c r="AH26" s="991"/>
      <c r="AI26" s="991"/>
      <c r="AJ26" s="991"/>
      <c r="AK26" s="991"/>
      <c r="AL26" s="991"/>
      <c r="AM26" s="991"/>
      <c r="AN26" s="991"/>
      <c r="AO26" s="991"/>
      <c r="AP26" s="991"/>
      <c r="AQ26" s="991"/>
      <c r="AR26" s="991"/>
      <c r="AS26" s="991"/>
      <c r="AT26" s="991"/>
      <c r="AU26" s="991"/>
      <c r="AV26" s="991"/>
      <c r="AW26" s="991"/>
      <c r="AX26" s="991"/>
      <c r="AY26" s="991"/>
      <c r="AZ26" s="991"/>
      <c r="BA26" s="991"/>
      <c r="BB26" s="991"/>
      <c r="BC26" s="991"/>
      <c r="BD26" s="991"/>
      <c r="BE26" s="991"/>
      <c r="BF26" s="991"/>
      <c r="BG26" s="991"/>
      <c r="BH26" s="991"/>
      <c r="BI26" s="991"/>
      <c r="BJ26" s="991"/>
      <c r="BK26" s="991"/>
      <c r="BL26" s="991"/>
      <c r="BM26" s="991"/>
      <c r="BN26" s="991"/>
      <c r="BO26" s="991"/>
      <c r="BP26" s="991"/>
      <c r="BQ26" s="991"/>
      <c r="BR26" s="991"/>
      <c r="BS26" s="991"/>
      <c r="BT26" s="991"/>
      <c r="BU26" s="991"/>
      <c r="BV26" s="991"/>
      <c r="BW26" s="991"/>
      <c r="BX26" s="991"/>
      <c r="BY26" s="991"/>
      <c r="BZ26" s="991"/>
      <c r="CA26" s="991"/>
      <c r="CB26" s="991"/>
      <c r="CC26" s="991"/>
      <c r="CD26" s="991"/>
      <c r="CE26" s="991"/>
      <c r="CF26" s="991"/>
      <c r="CG26" s="991"/>
      <c r="CH26" s="991"/>
      <c r="CI26" s="991"/>
      <c r="CJ26" s="991"/>
      <c r="CK26" s="991"/>
      <c r="CL26" s="991"/>
      <c r="CM26" s="991"/>
      <c r="CN26" s="991"/>
      <c r="CO26" s="991"/>
      <c r="CP26" s="991"/>
      <c r="CQ26" s="991"/>
      <c r="CR26" s="991"/>
      <c r="CS26" s="991"/>
      <c r="CT26" s="991"/>
      <c r="CU26" s="991"/>
      <c r="CV26" s="991"/>
      <c r="CW26" s="991"/>
      <c r="CX26" s="991"/>
      <c r="CY26" s="991"/>
      <c r="CZ26" s="991"/>
      <c r="DA26" s="991"/>
      <c r="DB26" s="991"/>
      <c r="DC26" s="991"/>
      <c r="DD26" s="991"/>
      <c r="DE26" s="991"/>
      <c r="DF26" s="991"/>
      <c r="DG26" s="991"/>
      <c r="DH26" s="991"/>
      <c r="DI26" s="991"/>
      <c r="DJ26" s="991"/>
      <c r="DK26" s="991"/>
      <c r="DL26" s="991"/>
      <c r="DM26" s="991"/>
      <c r="DN26" s="991"/>
      <c r="DO26" s="991"/>
      <c r="DP26" s="991"/>
      <c r="DQ26" s="991"/>
      <c r="DR26" s="991"/>
      <c r="DS26" s="991"/>
      <c r="DT26" s="991"/>
      <c r="DU26" s="991"/>
      <c r="DV26" s="991"/>
      <c r="DW26" s="991"/>
      <c r="DX26" s="991"/>
      <c r="DY26" s="991"/>
      <c r="DZ26" s="991"/>
      <c r="EA26" s="991"/>
      <c r="EB26" s="991"/>
      <c r="EC26" s="991"/>
      <c r="ED26" s="991"/>
      <c r="EE26" s="991"/>
      <c r="EF26" s="991"/>
      <c r="EG26" s="991"/>
      <c r="EH26" s="991"/>
      <c r="EI26" s="991"/>
      <c r="EJ26" s="991"/>
      <c r="EK26" s="991"/>
      <c r="EL26" s="991"/>
      <c r="EM26" s="991"/>
      <c r="EN26" s="991"/>
      <c r="EO26" s="991"/>
      <c r="EP26" s="991"/>
      <c r="EQ26" s="991"/>
      <c r="ER26" s="991"/>
      <c r="ES26" s="991"/>
      <c r="ET26" s="991"/>
      <c r="EU26" s="991"/>
      <c r="EV26" s="991"/>
      <c r="EW26" s="991"/>
      <c r="EX26" s="991"/>
      <c r="EY26" s="991"/>
      <c r="EZ26" s="991"/>
      <c r="FA26" s="991"/>
      <c r="FB26" s="991"/>
      <c r="FC26" s="991"/>
      <c r="FD26" s="991"/>
      <c r="FE26" s="991"/>
      <c r="FF26" s="991"/>
      <c r="FG26" s="991"/>
      <c r="FH26" s="991"/>
      <c r="FI26" s="991"/>
      <c r="FJ26" s="991"/>
      <c r="FK26" s="991"/>
      <c r="FL26" s="991"/>
      <c r="FM26" s="991"/>
      <c r="FN26" s="991"/>
      <c r="FO26" s="991"/>
      <c r="FP26" s="991"/>
      <c r="FQ26" s="991"/>
      <c r="FR26" s="991"/>
      <c r="FS26" s="991"/>
      <c r="FT26" s="991"/>
      <c r="FU26" s="991"/>
      <c r="FV26" s="991"/>
      <c r="FW26" s="991"/>
      <c r="FX26" s="991"/>
      <c r="FY26" s="991"/>
      <c r="FZ26" s="991"/>
      <c r="GA26" s="991"/>
      <c r="GB26" s="991"/>
      <c r="GC26" s="991"/>
      <c r="GD26" s="991"/>
      <c r="GE26" s="991"/>
      <c r="GF26" s="991"/>
      <c r="GG26" s="991"/>
      <c r="GH26" s="991"/>
      <c r="GI26" s="991"/>
      <c r="GJ26" s="991"/>
      <c r="GK26" s="991"/>
      <c r="GL26" s="991"/>
      <c r="GM26" s="991"/>
      <c r="GN26" s="991"/>
      <c r="GO26" s="991"/>
      <c r="GP26" s="991"/>
      <c r="GQ26" s="991"/>
      <c r="GR26" s="991"/>
      <c r="GS26" s="991"/>
      <c r="GT26" s="991"/>
      <c r="GU26" s="991"/>
      <c r="GV26" s="991"/>
      <c r="GW26" s="991"/>
      <c r="GX26" s="991"/>
      <c r="GY26" s="991"/>
      <c r="GZ26" s="991"/>
      <c r="HA26" s="991"/>
      <c r="HB26" s="991"/>
      <c r="HC26" s="991"/>
      <c r="HD26" s="991"/>
      <c r="HE26" s="991"/>
      <c r="HF26" s="991"/>
      <c r="HG26" s="991"/>
      <c r="HH26" s="991"/>
      <c r="HI26" s="991"/>
      <c r="HJ26" s="991"/>
      <c r="HK26" s="991"/>
      <c r="HL26" s="991"/>
      <c r="HM26" s="991"/>
      <c r="HN26" s="991"/>
      <c r="HO26" s="991"/>
      <c r="HP26" s="991"/>
      <c r="HQ26" s="991"/>
      <c r="HR26" s="991"/>
      <c r="HS26" s="991"/>
      <c r="HT26" s="991"/>
      <c r="HU26" s="991"/>
      <c r="HV26" s="991"/>
      <c r="HW26" s="991"/>
      <c r="HX26" s="991"/>
      <c r="HY26" s="991"/>
      <c r="HZ26" s="991"/>
      <c r="IA26" s="991"/>
      <c r="IB26" s="991"/>
      <c r="IC26" s="991"/>
      <c r="ID26" s="991"/>
      <c r="IE26" s="991"/>
      <c r="IF26" s="991"/>
      <c r="IG26" s="991"/>
      <c r="IH26" s="991"/>
      <c r="II26" s="991"/>
      <c r="IJ26" s="991"/>
      <c r="IK26" s="991"/>
      <c r="IL26" s="991"/>
      <c r="IM26" s="991"/>
      <c r="IN26" s="991"/>
      <c r="IO26" s="991"/>
      <c r="IP26" s="991"/>
      <c r="IQ26" s="991"/>
      <c r="IR26" s="991"/>
    </row>
    <row r="27" spans="1:8" s="991" customFormat="1" ht="15">
      <c r="A27" s="993" t="s">
        <v>460</v>
      </c>
      <c r="B27" s="994"/>
      <c r="C27" s="995"/>
      <c r="D27" s="996"/>
      <c r="E27" s="1080" t="s">
        <v>43</v>
      </c>
      <c r="F27" s="994"/>
      <c r="G27" s="962"/>
      <c r="H27" s="963">
        <v>-63998</v>
      </c>
    </row>
    <row r="28" spans="1:8" s="991" customFormat="1" ht="14.25">
      <c r="A28" s="997" t="s">
        <v>461</v>
      </c>
      <c r="B28" s="998"/>
      <c r="C28" s="999"/>
      <c r="D28" s="1000"/>
      <c r="E28" s="997"/>
      <c r="F28" s="998"/>
      <c r="G28" s="968"/>
      <c r="H28" s="969"/>
    </row>
    <row r="29" spans="1:8" s="991" customFormat="1" ht="15">
      <c r="A29" s="966" t="s">
        <v>462</v>
      </c>
      <c r="B29" s="998">
        <v>90428</v>
      </c>
      <c r="C29" s="999">
        <v>222981</v>
      </c>
      <c r="D29" s="1000">
        <v>252035</v>
      </c>
      <c r="E29" s="997"/>
      <c r="F29" s="998"/>
      <c r="G29" s="968"/>
      <c r="H29" s="969"/>
    </row>
    <row r="30" spans="1:8" s="991" customFormat="1" ht="30">
      <c r="A30" s="1001" t="s">
        <v>463</v>
      </c>
      <c r="B30" s="1002"/>
      <c r="C30" s="1074"/>
      <c r="D30" s="1030"/>
      <c r="E30" s="997"/>
      <c r="F30" s="998"/>
      <c r="G30" s="983"/>
      <c r="H30" s="984"/>
    </row>
    <row r="31" spans="1:8" s="991" customFormat="1" ht="15.75" thickBot="1">
      <c r="A31" s="1067" t="s">
        <v>42</v>
      </c>
      <c r="B31" s="1068"/>
      <c r="C31" s="1069"/>
      <c r="D31" s="1070">
        <v>-62000</v>
      </c>
      <c r="E31" s="1071"/>
      <c r="F31" s="1072"/>
      <c r="H31" s="1073"/>
    </row>
    <row r="32" spans="1:8" s="991" customFormat="1" ht="15" thickBot="1">
      <c r="A32" s="1004" t="s">
        <v>1095</v>
      </c>
      <c r="B32" s="1005">
        <f>SUM(B26,B29)</f>
        <v>4222706</v>
      </c>
      <c r="C32" s="1006">
        <f>SUM(C26,C29)</f>
        <v>4235341</v>
      </c>
      <c r="D32" s="1007">
        <f>SUM(D26+D29+D31)</f>
        <v>4840990</v>
      </c>
      <c r="E32" s="1004" t="s">
        <v>1095</v>
      </c>
      <c r="F32" s="1008">
        <f>SUM(F26)</f>
        <v>4222706</v>
      </c>
      <c r="G32" s="1009">
        <f>SUM(G26)</f>
        <v>4134833</v>
      </c>
      <c r="H32" s="1081">
        <f>SUM(H26+H27)</f>
        <v>4329077</v>
      </c>
    </row>
    <row r="33" spans="1:6" s="991" customFormat="1" ht="15">
      <c r="A33" s="1010"/>
      <c r="B33" s="1010"/>
      <c r="C33" s="1010"/>
      <c r="D33" s="1010"/>
      <c r="E33" s="1010"/>
      <c r="F33" s="1011"/>
    </row>
    <row r="34" spans="1:6" s="991" customFormat="1" ht="15">
      <c r="A34" s="1010"/>
      <c r="B34" s="1010"/>
      <c r="C34" s="1010"/>
      <c r="D34" s="1010"/>
      <c r="E34" s="952"/>
      <c r="F34" s="1011"/>
    </row>
    <row r="35" spans="1:6" ht="15">
      <c r="A35" s="1012"/>
      <c r="B35" s="1013"/>
      <c r="C35" s="1013"/>
      <c r="D35" s="1013"/>
      <c r="F35" s="952"/>
    </row>
    <row r="36" spans="1:5" ht="13.5" customHeight="1">
      <c r="A36" s="952"/>
      <c r="B36" s="952"/>
      <c r="C36" s="952"/>
      <c r="D36" s="952"/>
      <c r="E36" s="1014"/>
    </row>
    <row r="37" spans="1:8" s="951" customFormat="1" ht="15" customHeight="1">
      <c r="A37" s="1337" t="s">
        <v>464</v>
      </c>
      <c r="B37" s="1337"/>
      <c r="C37" s="1337"/>
      <c r="D37" s="1337"/>
      <c r="E37" s="1337"/>
      <c r="F37" s="1337"/>
      <c r="G37" s="1337"/>
      <c r="H37" s="1337"/>
    </row>
    <row r="38" spans="1:5" ht="14.25" customHeight="1" thickBot="1">
      <c r="A38" s="952"/>
      <c r="B38" s="952"/>
      <c r="C38" s="952"/>
      <c r="D38" s="952"/>
      <c r="E38" s="1015"/>
    </row>
    <row r="39" spans="1:8" s="951" customFormat="1" ht="14.25">
      <c r="A39" s="1334" t="s">
        <v>760</v>
      </c>
      <c r="B39" s="1335"/>
      <c r="C39" s="1335"/>
      <c r="D39" s="1336"/>
      <c r="E39" s="1334" t="s">
        <v>761</v>
      </c>
      <c r="F39" s="1335"/>
      <c r="G39" s="1335"/>
      <c r="H39" s="1336"/>
    </row>
    <row r="40" spans="1:8" s="951" customFormat="1" ht="29.25" thickBot="1">
      <c r="A40" s="1016"/>
      <c r="B40" s="954" t="s">
        <v>753</v>
      </c>
      <c r="C40" s="1017" t="s">
        <v>550</v>
      </c>
      <c r="D40" s="956" t="s">
        <v>535</v>
      </c>
      <c r="E40" s="1018"/>
      <c r="F40" s="1019" t="s">
        <v>754</v>
      </c>
      <c r="G40" s="955" t="s">
        <v>550</v>
      </c>
      <c r="H40" s="956" t="s">
        <v>535</v>
      </c>
    </row>
    <row r="41" spans="1:8" s="951" customFormat="1" ht="15">
      <c r="A41" s="957" t="s">
        <v>642</v>
      </c>
      <c r="B41" s="958">
        <v>355182</v>
      </c>
      <c r="C41" s="1020">
        <v>274769</v>
      </c>
      <c r="D41" s="960">
        <v>278914</v>
      </c>
      <c r="E41" s="957" t="s">
        <v>762</v>
      </c>
      <c r="F41" s="958">
        <v>1540001</v>
      </c>
      <c r="G41" s="962">
        <v>791796</v>
      </c>
      <c r="H41" s="963">
        <v>220936</v>
      </c>
    </row>
    <row r="42" spans="1:8" s="951" customFormat="1" ht="15">
      <c r="A42" s="966" t="s">
        <v>465</v>
      </c>
      <c r="B42" s="967">
        <v>33113</v>
      </c>
      <c r="C42" s="1021">
        <v>64178</v>
      </c>
      <c r="D42" s="965">
        <v>26129</v>
      </c>
      <c r="E42" s="966" t="s">
        <v>765</v>
      </c>
      <c r="F42" s="967">
        <v>32851</v>
      </c>
      <c r="G42" s="968">
        <v>94267</v>
      </c>
      <c r="H42" s="969">
        <v>83792</v>
      </c>
    </row>
    <row r="43" spans="1:8" ht="15">
      <c r="A43" s="957" t="s">
        <v>466</v>
      </c>
      <c r="B43" s="958">
        <v>1103231</v>
      </c>
      <c r="C43" s="1020">
        <v>116503</v>
      </c>
      <c r="D43" s="960">
        <v>91626</v>
      </c>
      <c r="E43" s="1022" t="s">
        <v>467</v>
      </c>
      <c r="F43" s="967">
        <v>42352</v>
      </c>
      <c r="G43" s="968">
        <v>97535</v>
      </c>
      <c r="H43" s="969">
        <v>33386</v>
      </c>
    </row>
    <row r="44" spans="1:8" ht="15">
      <c r="A44" s="957" t="s">
        <v>468</v>
      </c>
      <c r="B44" s="958"/>
      <c r="C44" s="1020">
        <v>60</v>
      </c>
      <c r="D44" s="960">
        <v>60</v>
      </c>
      <c r="E44" s="1022"/>
      <c r="F44" s="967"/>
      <c r="G44" s="968"/>
      <c r="H44" s="969"/>
    </row>
    <row r="45" spans="1:8" ht="30">
      <c r="A45" s="1001" t="s">
        <v>469</v>
      </c>
      <c r="B45" s="967">
        <v>1588643</v>
      </c>
      <c r="C45" s="1021"/>
      <c r="D45" s="965"/>
      <c r="E45" s="966" t="s">
        <v>530</v>
      </c>
      <c r="F45" s="967">
        <v>2643506</v>
      </c>
      <c r="G45" s="968"/>
      <c r="H45" s="969"/>
    </row>
    <row r="46" spans="1:8" ht="15">
      <c r="A46" s="1023" t="s">
        <v>470</v>
      </c>
      <c r="B46" s="967">
        <v>11200</v>
      </c>
      <c r="C46" s="1021">
        <v>6301</v>
      </c>
      <c r="D46" s="965">
        <v>6453</v>
      </c>
      <c r="E46" s="966" t="s">
        <v>471</v>
      </c>
      <c r="F46" s="967">
        <v>347</v>
      </c>
      <c r="G46" s="968">
        <v>347</v>
      </c>
      <c r="H46" s="969">
        <v>342</v>
      </c>
    </row>
    <row r="47" spans="1:8" ht="15">
      <c r="A47" s="966" t="s">
        <v>472</v>
      </c>
      <c r="B47" s="967">
        <f>SUM(B48:B49)</f>
        <v>6000</v>
      </c>
      <c r="C47" s="1021">
        <v>6000</v>
      </c>
      <c r="D47" s="965">
        <v>5287</v>
      </c>
      <c r="E47" s="966" t="s">
        <v>473</v>
      </c>
      <c r="F47" s="967">
        <f>SUM(F48:F49)</f>
        <v>3000</v>
      </c>
      <c r="G47" s="968">
        <v>3100</v>
      </c>
      <c r="H47" s="969">
        <v>1600</v>
      </c>
    </row>
    <row r="48" spans="1:8" ht="15">
      <c r="A48" s="1024" t="s">
        <v>474</v>
      </c>
      <c r="B48" s="1025">
        <v>4500</v>
      </c>
      <c r="C48" s="1026">
        <v>4500</v>
      </c>
      <c r="D48" s="1027">
        <v>4651</v>
      </c>
      <c r="E48" s="971" t="s">
        <v>475</v>
      </c>
      <c r="F48" s="972">
        <v>1500</v>
      </c>
      <c r="G48" s="968">
        <v>1500</v>
      </c>
      <c r="H48" s="969">
        <v>600</v>
      </c>
    </row>
    <row r="49" spans="1:8" ht="15">
      <c r="A49" s="1024" t="s">
        <v>476</v>
      </c>
      <c r="B49" s="1025">
        <v>1500</v>
      </c>
      <c r="C49" s="1026">
        <v>1500</v>
      </c>
      <c r="D49" s="1027">
        <v>636</v>
      </c>
      <c r="E49" s="971" t="s">
        <v>746</v>
      </c>
      <c r="F49" s="972">
        <v>1500</v>
      </c>
      <c r="G49" s="968">
        <v>1600</v>
      </c>
      <c r="H49" s="969">
        <v>1000</v>
      </c>
    </row>
    <row r="50" spans="1:8" s="1033" customFormat="1" ht="15">
      <c r="A50" s="1028" t="s">
        <v>477</v>
      </c>
      <c r="B50" s="1002">
        <f>B51+B52</f>
        <v>156105</v>
      </c>
      <c r="C50" s="1029">
        <v>156105</v>
      </c>
      <c r="D50" s="1030">
        <v>156105</v>
      </c>
      <c r="E50" s="1028" t="s">
        <v>478</v>
      </c>
      <c r="F50" s="1002">
        <f>31412+13000</f>
        <v>44412</v>
      </c>
      <c r="G50" s="1031">
        <v>76719</v>
      </c>
      <c r="H50" s="1032"/>
    </row>
    <row r="51" spans="1:8" ht="15">
      <c r="A51" s="971" t="s">
        <v>479</v>
      </c>
      <c r="B51" s="972">
        <v>75000</v>
      </c>
      <c r="C51" s="1034">
        <v>75000</v>
      </c>
      <c r="D51" s="974">
        <v>75000</v>
      </c>
      <c r="E51" s="966" t="s">
        <v>480</v>
      </c>
      <c r="F51" s="967">
        <v>14173</v>
      </c>
      <c r="G51" s="968">
        <v>2249</v>
      </c>
      <c r="H51" s="969"/>
    </row>
    <row r="52" spans="1:8" ht="15">
      <c r="A52" s="971" t="s">
        <v>481</v>
      </c>
      <c r="B52" s="972">
        <v>81105</v>
      </c>
      <c r="C52" s="1034">
        <v>81105</v>
      </c>
      <c r="D52" s="974">
        <v>81105</v>
      </c>
      <c r="E52" s="966" t="s">
        <v>482</v>
      </c>
      <c r="F52" s="967">
        <v>37822</v>
      </c>
      <c r="G52" s="968">
        <v>22798</v>
      </c>
      <c r="H52" s="969">
        <v>8577</v>
      </c>
    </row>
    <row r="53" spans="1:8" s="1033" customFormat="1" ht="15">
      <c r="A53" s="1035" t="s">
        <v>483</v>
      </c>
      <c r="B53" s="1036">
        <v>12500</v>
      </c>
      <c r="C53" s="1037">
        <v>12500</v>
      </c>
      <c r="D53" s="1003">
        <v>12500</v>
      </c>
      <c r="E53" s="1028" t="s">
        <v>484</v>
      </c>
      <c r="F53" s="1002">
        <v>57068</v>
      </c>
      <c r="G53" s="1031">
        <v>60806</v>
      </c>
      <c r="H53" s="1032">
        <v>45634</v>
      </c>
    </row>
    <row r="54" spans="1:8" ht="15">
      <c r="A54" s="976"/>
      <c r="B54" s="977"/>
      <c r="C54" s="992"/>
      <c r="D54" s="984"/>
      <c r="E54" s="981" t="s">
        <v>726</v>
      </c>
      <c r="F54" s="982">
        <f>SUM(F55:F56)</f>
        <v>4284</v>
      </c>
      <c r="G54" s="968">
        <v>4284</v>
      </c>
      <c r="H54" s="969">
        <v>2922</v>
      </c>
    </row>
    <row r="55" spans="1:8" ht="15">
      <c r="A55" s="997" t="s">
        <v>816</v>
      </c>
      <c r="B55" s="998"/>
      <c r="C55" s="1038">
        <v>327969</v>
      </c>
      <c r="D55" s="1039">
        <v>327969</v>
      </c>
      <c r="E55" s="1040" t="s">
        <v>485</v>
      </c>
      <c r="F55" s="1041">
        <v>1123</v>
      </c>
      <c r="G55" s="968">
        <v>1123</v>
      </c>
      <c r="H55" s="969"/>
    </row>
    <row r="56" spans="1:8" ht="15">
      <c r="A56" s="976"/>
      <c r="B56" s="977"/>
      <c r="C56" s="992"/>
      <c r="D56" s="984"/>
      <c r="E56" s="1040" t="s">
        <v>486</v>
      </c>
      <c r="F56" s="1041">
        <v>3161</v>
      </c>
      <c r="G56" s="968">
        <v>3161</v>
      </c>
      <c r="H56" s="969">
        <v>2922</v>
      </c>
    </row>
    <row r="57" spans="1:8" ht="15">
      <c r="A57" s="971"/>
      <c r="B57" s="967"/>
      <c r="C57" s="1021"/>
      <c r="D57" s="965"/>
      <c r="E57" s="1042" t="s">
        <v>487</v>
      </c>
      <c r="F57" s="967">
        <v>67006</v>
      </c>
      <c r="G57" s="968">
        <v>27090</v>
      </c>
      <c r="H57" s="969">
        <v>371</v>
      </c>
    </row>
    <row r="58" spans="1:8" ht="15.75" thickBot="1">
      <c r="A58" s="1043"/>
      <c r="B58" s="1044"/>
      <c r="C58" s="1011"/>
      <c r="D58" s="1045"/>
      <c r="E58" s="1023" t="s">
        <v>488</v>
      </c>
      <c r="F58" s="1044"/>
      <c r="G58" s="983">
        <v>327969</v>
      </c>
      <c r="H58" s="984">
        <v>327969</v>
      </c>
    </row>
    <row r="59" spans="1:8" ht="15" thickBot="1">
      <c r="A59" s="1046" t="s">
        <v>768</v>
      </c>
      <c r="B59" s="1008">
        <f>SUM(B41:B47,B50,B53)</f>
        <v>3265974</v>
      </c>
      <c r="C59" s="1009">
        <f>SUM(C41:C47,C50,C53,C55)</f>
        <v>964385</v>
      </c>
      <c r="D59" s="1047">
        <f>SUM(D41+D42+D43+D44+D46+D47+D50+D53+D55)</f>
        <v>905043</v>
      </c>
      <c r="E59" s="1046" t="s">
        <v>769</v>
      </c>
      <c r="F59" s="1008">
        <f>F41+F42+F43+F45+F46+F47+F50+F52+F53+F54+F57+F51</f>
        <v>4486822</v>
      </c>
      <c r="G59" s="1009">
        <f>SUM(G41:G47,G50:G54,G57:G58)</f>
        <v>1508960</v>
      </c>
      <c r="H59" s="1081">
        <f>SUM(H41+H42+H43+H46+H47+H52+H53+H54+H57+H58)</f>
        <v>725529</v>
      </c>
    </row>
    <row r="60" spans="1:8" ht="14.25">
      <c r="A60" s="1048" t="s">
        <v>489</v>
      </c>
      <c r="B60" s="1049"/>
      <c r="C60" s="1050"/>
      <c r="D60" s="1051"/>
      <c r="E60" s="1052"/>
      <c r="F60" s="1053"/>
      <c r="G60" s="962"/>
      <c r="H60" s="963"/>
    </row>
    <row r="61" spans="1:8" ht="14.25">
      <c r="A61" s="997" t="s">
        <v>461</v>
      </c>
      <c r="B61" s="1049"/>
      <c r="C61" s="1050"/>
      <c r="D61" s="1051"/>
      <c r="E61" s="1052"/>
      <c r="F61" s="1053"/>
      <c r="G61" s="968"/>
      <c r="H61" s="969"/>
    </row>
    <row r="62" spans="1:8" ht="30">
      <c r="A62" s="1001" t="s">
        <v>490</v>
      </c>
      <c r="B62" s="967">
        <f>180000+120000</f>
        <v>300000</v>
      </c>
      <c r="C62" s="1021">
        <v>328132</v>
      </c>
      <c r="D62" s="965">
        <v>328132</v>
      </c>
      <c r="E62" s="1054"/>
      <c r="F62" s="1055"/>
      <c r="G62" s="968"/>
      <c r="H62" s="969"/>
    </row>
    <row r="63" spans="1:8" ht="30" thickBot="1">
      <c r="A63" s="1001" t="s">
        <v>737</v>
      </c>
      <c r="B63" s="967">
        <v>1054863</v>
      </c>
      <c r="C63" s="1056">
        <v>250000</v>
      </c>
      <c r="D63" s="1057"/>
      <c r="E63" s="1058" t="s">
        <v>491</v>
      </c>
      <c r="F63" s="1059">
        <v>134015</v>
      </c>
      <c r="G63" s="1060">
        <v>134065</v>
      </c>
      <c r="H63" s="1082">
        <v>134049</v>
      </c>
    </row>
    <row r="64" spans="1:8" ht="15" thickBot="1">
      <c r="A64" s="985" t="s">
        <v>1095</v>
      </c>
      <c r="B64" s="986">
        <f>SUM(B59,B62:B63)</f>
        <v>4620837</v>
      </c>
      <c r="C64" s="990">
        <f>SUM(C59,C62:C63)</f>
        <v>1542517</v>
      </c>
      <c r="D64" s="988">
        <f>SUM(D59+D62)</f>
        <v>1233175</v>
      </c>
      <c r="E64" s="985" t="s">
        <v>1095</v>
      </c>
      <c r="F64" s="986">
        <f>SUM(F59,F63)</f>
        <v>4620837</v>
      </c>
      <c r="G64" s="990">
        <f>SUM(G59,G63)</f>
        <v>1643025</v>
      </c>
      <c r="H64" s="1081">
        <f>SUM(H59+H63)</f>
        <v>859578</v>
      </c>
    </row>
    <row r="65" spans="1:6" ht="14.25">
      <c r="A65" s="1061"/>
      <c r="B65" s="1061"/>
      <c r="C65" s="1061"/>
      <c r="D65" s="1061"/>
      <c r="E65" s="1061"/>
      <c r="F65" s="1061"/>
    </row>
    <row r="66" spans="1:5" ht="12.75">
      <c r="A66" s="951"/>
      <c r="B66" s="1062"/>
      <c r="C66" s="1062"/>
      <c r="D66" s="1062"/>
      <c r="E66" s="1062"/>
    </row>
    <row r="67" spans="1:4" ht="12.75">
      <c r="A67" s="949"/>
      <c r="B67" s="1063"/>
      <c r="C67" s="1063"/>
      <c r="D67" s="1063"/>
    </row>
    <row r="68" spans="1:8" ht="14.25">
      <c r="A68" s="1064" t="s">
        <v>492</v>
      </c>
      <c r="B68" s="1065">
        <f>SUM(B32,B64)</f>
        <v>8843543</v>
      </c>
      <c r="C68" s="1065">
        <f>SUM(C32,C64)</f>
        <v>5777858</v>
      </c>
      <c r="D68" s="1065">
        <f>SUM(D32,D64)</f>
        <v>6074165</v>
      </c>
      <c r="E68" s="1064" t="s">
        <v>493</v>
      </c>
      <c r="F68" s="1064">
        <f>SUM(F32,F64)</f>
        <v>8843543</v>
      </c>
      <c r="G68" s="1064">
        <f>SUM(G32,G64)</f>
        <v>5777858</v>
      </c>
      <c r="H68" s="951">
        <f>SUM(H64+H32)</f>
        <v>5188655</v>
      </c>
    </row>
  </sheetData>
  <mergeCells count="6">
    <mergeCell ref="A5:D5"/>
    <mergeCell ref="A39:D39"/>
    <mergeCell ref="E5:H5"/>
    <mergeCell ref="A3:H3"/>
    <mergeCell ref="E39:H39"/>
    <mergeCell ref="A37:H37"/>
  </mergeCells>
  <printOptions horizontalCentered="1"/>
  <pageMargins left="0" right="0" top="0.9055118110236221" bottom="0.984251968503937" header="0.5118110236220472" footer="0.15748031496062992"/>
  <pageSetup horizontalDpi="600" verticalDpi="600" orientation="portrait" paperSize="9" scale="54" r:id="rId1"/>
  <headerFooter alignWithMargins="0">
    <oddHeader>&amp;L 2. melléklet a 14/2013.(V.2.) önkormányzati rendelethez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41"/>
  <sheetViews>
    <sheetView tabSelected="1" view="pageBreakPreview" zoomScaleSheetLayoutView="100" workbookViewId="0" topLeftCell="A1">
      <selection activeCell="A21" sqref="A21:F21"/>
    </sheetView>
  </sheetViews>
  <sheetFormatPr defaultColWidth="9.00390625" defaultRowHeight="12.75"/>
  <cols>
    <col min="1" max="1" width="52.625" style="316" customWidth="1"/>
    <col min="2" max="7" width="9.125" style="316" customWidth="1"/>
    <col min="8" max="8" width="13.625" style="316" customWidth="1"/>
    <col min="9" max="16384" width="9.125" style="316" customWidth="1"/>
  </cols>
  <sheetData>
    <row r="2" spans="1:9" ht="14.25" customHeight="1">
      <c r="A2" s="1550" t="s">
        <v>925</v>
      </c>
      <c r="B2" s="1550"/>
      <c r="C2" s="1550"/>
      <c r="D2" s="1550"/>
      <c r="E2" s="1550"/>
      <c r="F2" s="1550"/>
      <c r="G2" s="1550"/>
      <c r="H2" s="1550"/>
      <c r="I2" s="1550"/>
    </row>
    <row r="3" spans="1:9" ht="14.25">
      <c r="A3" s="317"/>
      <c r="B3" s="317"/>
      <c r="C3" s="317"/>
      <c r="D3" s="317"/>
      <c r="E3" s="317"/>
      <c r="F3" s="317"/>
      <c r="G3" s="317"/>
      <c r="H3" s="317"/>
      <c r="I3" s="317"/>
    </row>
    <row r="4" spans="1:6" ht="12.75">
      <c r="A4" s="1548" t="s">
        <v>545</v>
      </c>
      <c r="B4" s="1549"/>
      <c r="C4" s="1549"/>
      <c r="D4" s="1549"/>
      <c r="E4" s="1549"/>
      <c r="F4" s="1549"/>
    </row>
    <row r="5" spans="1:6" ht="13.5" thickBot="1">
      <c r="A5" s="1297"/>
      <c r="B5" s="1274"/>
      <c r="C5" s="1274"/>
      <c r="D5" s="1274"/>
      <c r="E5" s="1274"/>
      <c r="F5" s="1274"/>
    </row>
    <row r="6" spans="1:9" ht="13.5" customHeight="1" thickBot="1">
      <c r="A6" s="1551" t="s">
        <v>873</v>
      </c>
      <c r="B6" s="1553" t="s">
        <v>926</v>
      </c>
      <c r="C6" s="1553"/>
      <c r="D6" s="1553"/>
      <c r="E6" s="1553"/>
      <c r="F6" s="1553"/>
      <c r="G6" s="1553"/>
      <c r="H6" s="1554" t="s">
        <v>927</v>
      </c>
      <c r="I6" s="1556" t="s">
        <v>756</v>
      </c>
    </row>
    <row r="7" spans="1:9" ht="39" thickTop="1">
      <c r="A7" s="1552"/>
      <c r="B7" s="318" t="s">
        <v>928</v>
      </c>
      <c r="C7" s="318" t="s">
        <v>929</v>
      </c>
      <c r="D7" s="318" t="s">
        <v>930</v>
      </c>
      <c r="E7" s="318" t="s">
        <v>931</v>
      </c>
      <c r="F7" s="318" t="s">
        <v>932</v>
      </c>
      <c r="G7" s="319" t="s">
        <v>232</v>
      </c>
      <c r="H7" s="1555"/>
      <c r="I7" s="1557"/>
    </row>
    <row r="8" spans="1:9" ht="12.75">
      <c r="A8" s="712" t="s">
        <v>933</v>
      </c>
      <c r="B8" s="320">
        <v>107513</v>
      </c>
      <c r="C8" s="320">
        <v>129015</v>
      </c>
      <c r="D8" s="320">
        <v>139767</v>
      </c>
      <c r="E8" s="320">
        <v>161269</v>
      </c>
      <c r="F8" s="320">
        <v>182772</v>
      </c>
      <c r="G8" s="320">
        <v>4547789</v>
      </c>
      <c r="H8" s="321">
        <f aca="true" t="shared" si="0" ref="H8:H15">SUM(C8:G8)</f>
        <v>5160612</v>
      </c>
      <c r="I8" s="713">
        <f aca="true" t="shared" si="1" ref="I8:I15">B8+H8</f>
        <v>5268125</v>
      </c>
    </row>
    <row r="9" spans="1:9" ht="12.75">
      <c r="A9" s="712" t="s">
        <v>934</v>
      </c>
      <c r="B9" s="320">
        <f aca="true" t="shared" si="2" ref="B9:G9">B8</f>
        <v>107513</v>
      </c>
      <c r="C9" s="320">
        <f t="shared" si="2"/>
        <v>129015</v>
      </c>
      <c r="D9" s="320">
        <f t="shared" si="2"/>
        <v>139767</v>
      </c>
      <c r="E9" s="320">
        <f t="shared" si="2"/>
        <v>161269</v>
      </c>
      <c r="F9" s="320">
        <f t="shared" si="2"/>
        <v>182772</v>
      </c>
      <c r="G9" s="320">
        <f t="shared" si="2"/>
        <v>4547789</v>
      </c>
      <c r="H9" s="321">
        <f t="shared" si="0"/>
        <v>5160612</v>
      </c>
      <c r="I9" s="713">
        <f t="shared" si="1"/>
        <v>5268125</v>
      </c>
    </row>
    <row r="10" spans="1:9" ht="12.75">
      <c r="A10" s="712" t="s">
        <v>935</v>
      </c>
      <c r="B10" s="320">
        <v>698</v>
      </c>
      <c r="C10" s="320">
        <v>0</v>
      </c>
      <c r="D10" s="320">
        <v>0</v>
      </c>
      <c r="E10" s="320">
        <v>0</v>
      </c>
      <c r="F10" s="320">
        <v>0</v>
      </c>
      <c r="G10" s="320">
        <v>0</v>
      </c>
      <c r="H10" s="321">
        <f t="shared" si="0"/>
        <v>0</v>
      </c>
      <c r="I10" s="713">
        <f t="shared" si="1"/>
        <v>698</v>
      </c>
    </row>
    <row r="11" spans="1:9" ht="12.75">
      <c r="A11" s="712" t="s">
        <v>936</v>
      </c>
      <c r="B11" s="320">
        <v>16681</v>
      </c>
      <c r="C11" s="320">
        <v>16681</v>
      </c>
      <c r="D11" s="320">
        <v>16681</v>
      </c>
      <c r="E11" s="320">
        <v>12480</v>
      </c>
      <c r="F11" s="320">
        <v>0</v>
      </c>
      <c r="G11" s="320">
        <v>0</v>
      </c>
      <c r="H11" s="321">
        <f t="shared" si="0"/>
        <v>45842</v>
      </c>
      <c r="I11" s="713">
        <f t="shared" si="1"/>
        <v>62523</v>
      </c>
    </row>
    <row r="12" spans="1:9" ht="12.75">
      <c r="A12" s="712" t="s">
        <v>937</v>
      </c>
      <c r="B12" s="320">
        <f aca="true" t="shared" si="3" ref="B12:G12">B11</f>
        <v>16681</v>
      </c>
      <c r="C12" s="320">
        <f t="shared" si="3"/>
        <v>16681</v>
      </c>
      <c r="D12" s="320">
        <f t="shared" si="3"/>
        <v>16681</v>
      </c>
      <c r="E12" s="320">
        <f t="shared" si="3"/>
        <v>12480</v>
      </c>
      <c r="F12" s="320">
        <f t="shared" si="3"/>
        <v>0</v>
      </c>
      <c r="G12" s="320">
        <f t="shared" si="3"/>
        <v>0</v>
      </c>
      <c r="H12" s="321">
        <f t="shared" si="0"/>
        <v>45842</v>
      </c>
      <c r="I12" s="713">
        <f t="shared" si="1"/>
        <v>62523</v>
      </c>
    </row>
    <row r="13" spans="1:9" ht="12.75">
      <c r="A13" s="712" t="s">
        <v>938</v>
      </c>
      <c r="B13" s="320">
        <v>0</v>
      </c>
      <c r="C13" s="320">
        <v>47300</v>
      </c>
      <c r="D13" s="320">
        <v>0</v>
      </c>
      <c r="E13" s="320">
        <v>0</v>
      </c>
      <c r="F13" s="320">
        <v>0</v>
      </c>
      <c r="G13" s="320">
        <v>0</v>
      </c>
      <c r="H13" s="321">
        <f t="shared" si="0"/>
        <v>47300</v>
      </c>
      <c r="I13" s="713">
        <f t="shared" si="1"/>
        <v>47300</v>
      </c>
    </row>
    <row r="14" spans="1:9" ht="25.5">
      <c r="A14" s="714" t="s">
        <v>958</v>
      </c>
      <c r="B14" s="321">
        <f aca="true" t="shared" si="4" ref="B14:G14">B10+B13</f>
        <v>698</v>
      </c>
      <c r="C14" s="321">
        <f t="shared" si="4"/>
        <v>47300</v>
      </c>
      <c r="D14" s="321">
        <f t="shared" si="4"/>
        <v>0</v>
      </c>
      <c r="E14" s="321">
        <f t="shared" si="4"/>
        <v>0</v>
      </c>
      <c r="F14" s="321">
        <f t="shared" si="4"/>
        <v>0</v>
      </c>
      <c r="G14" s="321">
        <f t="shared" si="4"/>
        <v>0</v>
      </c>
      <c r="H14" s="321">
        <f t="shared" si="0"/>
        <v>47300</v>
      </c>
      <c r="I14" s="713">
        <f t="shared" si="1"/>
        <v>47998</v>
      </c>
    </row>
    <row r="15" spans="1:9" ht="25.5">
      <c r="A15" s="714" t="s">
        <v>1014</v>
      </c>
      <c r="B15" s="321">
        <f aca="true" t="shared" si="5" ref="B15:G15">B8+B11</f>
        <v>124194</v>
      </c>
      <c r="C15" s="321">
        <f t="shared" si="5"/>
        <v>145696</v>
      </c>
      <c r="D15" s="321">
        <f t="shared" si="5"/>
        <v>156448</v>
      </c>
      <c r="E15" s="321">
        <f t="shared" si="5"/>
        <v>173749</v>
      </c>
      <c r="F15" s="321">
        <f t="shared" si="5"/>
        <v>182772</v>
      </c>
      <c r="G15" s="321">
        <f t="shared" si="5"/>
        <v>4547789</v>
      </c>
      <c r="H15" s="321">
        <f t="shared" si="0"/>
        <v>5206454</v>
      </c>
      <c r="I15" s="713">
        <f t="shared" si="1"/>
        <v>5330648</v>
      </c>
    </row>
    <row r="16" spans="1:9" ht="27.75" customHeight="1" thickBot="1">
      <c r="A16" s="715" t="s">
        <v>1041</v>
      </c>
      <c r="B16" s="716">
        <f>SUM(B14:B15)</f>
        <v>124892</v>
      </c>
      <c r="C16" s="716">
        <f aca="true" t="shared" si="6" ref="C16:I16">SUM(C14:C15)</f>
        <v>192996</v>
      </c>
      <c r="D16" s="716">
        <f t="shared" si="6"/>
        <v>156448</v>
      </c>
      <c r="E16" s="716">
        <f t="shared" si="6"/>
        <v>173749</v>
      </c>
      <c r="F16" s="716">
        <f t="shared" si="6"/>
        <v>182772</v>
      </c>
      <c r="G16" s="716">
        <f t="shared" si="6"/>
        <v>4547789</v>
      </c>
      <c r="H16" s="716">
        <f t="shared" si="6"/>
        <v>5253754</v>
      </c>
      <c r="I16" s="716">
        <f t="shared" si="6"/>
        <v>5378646</v>
      </c>
    </row>
    <row r="19" spans="1:7" ht="12.75">
      <c r="A19" s="1475" t="s">
        <v>157</v>
      </c>
      <c r="B19" s="1475"/>
      <c r="C19" s="1475"/>
      <c r="D19" s="1475"/>
      <c r="E19" s="1475"/>
      <c r="F19" s="1475"/>
      <c r="G19" s="1475"/>
    </row>
    <row r="20" spans="1:7" ht="12.75">
      <c r="A20" s="1272"/>
      <c r="B20" s="1272"/>
      <c r="C20" s="1272"/>
      <c r="D20" s="1272"/>
      <c r="E20" s="1272"/>
      <c r="F20" s="1272"/>
      <c r="G20" s="1272"/>
    </row>
    <row r="21" spans="1:7" ht="12.75">
      <c r="A21" s="1548" t="s">
        <v>546</v>
      </c>
      <c r="B21" s="1549"/>
      <c r="C21" s="1549"/>
      <c r="D21" s="1549"/>
      <c r="E21" s="1549"/>
      <c r="F21" s="1549"/>
      <c r="G21" s="622"/>
    </row>
    <row r="22" spans="1:7" ht="13.5" thickBot="1">
      <c r="A22" s="1297"/>
      <c r="B22" s="1274"/>
      <c r="C22" s="1274"/>
      <c r="D22" s="1274"/>
      <c r="E22" s="1274"/>
      <c r="F22" s="1274"/>
      <c r="G22" s="622"/>
    </row>
    <row r="23" spans="1:7" ht="76.5">
      <c r="A23" s="1249" t="s">
        <v>158</v>
      </c>
      <c r="B23" s="1250" t="s">
        <v>159</v>
      </c>
      <c r="C23" s="1250" t="s">
        <v>160</v>
      </c>
      <c r="D23" s="1250" t="s">
        <v>161</v>
      </c>
      <c r="E23" s="1250" t="s">
        <v>162</v>
      </c>
      <c r="F23" s="1250" t="s">
        <v>163</v>
      </c>
      <c r="G23" s="1251" t="s">
        <v>164</v>
      </c>
    </row>
    <row r="24" spans="1:7" ht="12.75">
      <c r="A24" s="682" t="s">
        <v>165</v>
      </c>
      <c r="B24" s="660">
        <f>SUM(C24,E24,F24)</f>
        <v>645454</v>
      </c>
      <c r="C24" s="657">
        <v>84260</v>
      </c>
      <c r="D24" s="657">
        <v>683424</v>
      </c>
      <c r="E24" s="657">
        <v>2864</v>
      </c>
      <c r="F24" s="657">
        <v>558330</v>
      </c>
      <c r="G24" s="1252">
        <v>0</v>
      </c>
    </row>
    <row r="25" spans="1:7" ht="25.5">
      <c r="A25" s="1253" t="s">
        <v>1099</v>
      </c>
      <c r="B25" s="1246">
        <f>SUM(C25,E25,F25)</f>
        <v>1150580</v>
      </c>
      <c r="C25" s="1247">
        <v>38542</v>
      </c>
      <c r="D25" s="1247">
        <v>474872</v>
      </c>
      <c r="E25" s="1247">
        <v>9398</v>
      </c>
      <c r="F25" s="1247">
        <v>1102640</v>
      </c>
      <c r="G25" s="1254">
        <v>0</v>
      </c>
    </row>
    <row r="26" spans="1:7" ht="25.5">
      <c r="A26" s="1253" t="s">
        <v>166</v>
      </c>
      <c r="B26" s="1246">
        <v>158493</v>
      </c>
      <c r="C26" s="1247">
        <f>B26-D26</f>
        <v>126183</v>
      </c>
      <c r="D26" s="1247">
        <v>32310</v>
      </c>
      <c r="E26" s="1247">
        <f>39152+9238</f>
        <v>48390</v>
      </c>
      <c r="F26" s="1247">
        <v>0</v>
      </c>
      <c r="G26" s="1254">
        <v>0</v>
      </c>
    </row>
    <row r="27" spans="1:7" ht="38.25">
      <c r="A27" s="1253" t="s">
        <v>1046</v>
      </c>
      <c r="B27" s="1246">
        <f>C27+E27+F27</f>
        <v>507550</v>
      </c>
      <c r="C27" s="1247">
        <v>34448</v>
      </c>
      <c r="D27" s="1247">
        <v>445038</v>
      </c>
      <c r="E27" s="1247">
        <v>16236</v>
      </c>
      <c r="F27" s="1247">
        <v>456866</v>
      </c>
      <c r="G27" s="1254">
        <v>0</v>
      </c>
    </row>
    <row r="28" spans="1:7" ht="25.5">
      <c r="A28" s="1253" t="s">
        <v>167</v>
      </c>
      <c r="B28" s="1246">
        <v>121629</v>
      </c>
      <c r="C28" s="1247">
        <v>0</v>
      </c>
      <c r="D28" s="1247">
        <v>121629</v>
      </c>
      <c r="E28" s="1247">
        <v>1181</v>
      </c>
      <c r="F28" s="1247">
        <v>0</v>
      </c>
      <c r="G28" s="1254">
        <v>0</v>
      </c>
    </row>
    <row r="29" spans="1:7" ht="25.5">
      <c r="A29" s="1253" t="s">
        <v>168</v>
      </c>
      <c r="B29" s="1246">
        <v>169202</v>
      </c>
      <c r="C29" s="1247">
        <v>0</v>
      </c>
      <c r="D29" s="1247">
        <v>169202</v>
      </c>
      <c r="E29" s="1247">
        <v>0</v>
      </c>
      <c r="F29" s="1247">
        <v>0</v>
      </c>
      <c r="G29" s="1254">
        <v>0</v>
      </c>
    </row>
    <row r="30" spans="1:7" ht="38.25">
      <c r="A30" s="1253" t="s">
        <v>169</v>
      </c>
      <c r="B30" s="1246">
        <v>100000</v>
      </c>
      <c r="C30" s="1247">
        <v>0</v>
      </c>
      <c r="D30" s="1247">
        <v>100000</v>
      </c>
      <c r="E30" s="1247">
        <v>0</v>
      </c>
      <c r="F30" s="1247">
        <v>0</v>
      </c>
      <c r="G30" s="1254">
        <v>0</v>
      </c>
    </row>
    <row r="31" spans="1:7" ht="25.5">
      <c r="A31" s="1253" t="s">
        <v>1103</v>
      </c>
      <c r="B31" s="1246">
        <v>298340</v>
      </c>
      <c r="C31" s="1247">
        <v>0</v>
      </c>
      <c r="D31" s="1247">
        <v>298340</v>
      </c>
      <c r="E31" s="1247">
        <v>0</v>
      </c>
      <c r="F31" s="1247">
        <v>0</v>
      </c>
      <c r="G31" s="1254">
        <v>0</v>
      </c>
    </row>
    <row r="32" spans="1:7" ht="25.5">
      <c r="A32" s="1253" t="s">
        <v>1106</v>
      </c>
      <c r="B32" s="1246">
        <v>45000</v>
      </c>
      <c r="C32" s="1247">
        <v>0</v>
      </c>
      <c r="D32" s="1247">
        <v>45000</v>
      </c>
      <c r="E32" s="1247">
        <v>0</v>
      </c>
      <c r="F32" s="1247">
        <v>0</v>
      </c>
      <c r="G32" s="1254">
        <v>0</v>
      </c>
    </row>
    <row r="33" spans="1:7" ht="38.25">
      <c r="A33" s="1253" t="s">
        <v>1047</v>
      </c>
      <c r="B33" s="1246">
        <v>434180</v>
      </c>
      <c r="C33" s="1247">
        <v>14085</v>
      </c>
      <c r="D33" s="1247">
        <v>267489</v>
      </c>
      <c r="E33" s="1247">
        <v>15825</v>
      </c>
      <c r="F33" s="1247">
        <v>404270</v>
      </c>
      <c r="G33" s="1254">
        <v>0</v>
      </c>
    </row>
    <row r="34" spans="1:7" ht="25.5">
      <c r="A34" s="1253" t="s">
        <v>1050</v>
      </c>
      <c r="B34" s="1246">
        <v>16375</v>
      </c>
      <c r="C34" s="1247">
        <f>7359-E34</f>
        <v>1222</v>
      </c>
      <c r="D34" s="1247">
        <v>16375</v>
      </c>
      <c r="E34" s="1247">
        <v>6137</v>
      </c>
      <c r="F34" s="1247">
        <v>3541</v>
      </c>
      <c r="G34" s="1254">
        <v>0</v>
      </c>
    </row>
    <row r="35" spans="1:7" ht="25.5">
      <c r="A35" s="1253" t="s">
        <v>1101</v>
      </c>
      <c r="B35" s="1246">
        <v>90625</v>
      </c>
      <c r="C35" s="1247">
        <v>0</v>
      </c>
      <c r="D35" s="1247">
        <v>92725</v>
      </c>
      <c r="E35" s="1247">
        <v>0</v>
      </c>
      <c r="F35" s="1247">
        <v>90625</v>
      </c>
      <c r="G35" s="1254">
        <v>0</v>
      </c>
    </row>
    <row r="36" spans="1:7" ht="25.5">
      <c r="A36" s="1253" t="s">
        <v>1049</v>
      </c>
      <c r="B36" s="1246">
        <v>69787</v>
      </c>
      <c r="C36" s="1247">
        <v>0</v>
      </c>
      <c r="D36" s="1247">
        <v>69787</v>
      </c>
      <c r="E36" s="1247">
        <v>0</v>
      </c>
      <c r="F36" s="1247">
        <v>0</v>
      </c>
      <c r="G36" s="1254">
        <v>0</v>
      </c>
    </row>
    <row r="37" spans="1:7" ht="12.75">
      <c r="A37" s="1253" t="s">
        <v>170</v>
      </c>
      <c r="B37" s="1246">
        <f>E37+F37</f>
        <v>297638</v>
      </c>
      <c r="C37" s="1247">
        <v>0</v>
      </c>
      <c r="D37" s="376">
        <v>3638</v>
      </c>
      <c r="E37" s="1247">
        <v>3638</v>
      </c>
      <c r="F37" s="1247">
        <v>294000</v>
      </c>
      <c r="G37" s="1254">
        <v>0</v>
      </c>
    </row>
    <row r="38" spans="1:7" ht="12.75">
      <c r="A38" s="1253" t="s">
        <v>171</v>
      </c>
      <c r="B38" s="1246">
        <f>E38+F38</f>
        <v>297713</v>
      </c>
      <c r="C38" s="1247">
        <v>0</v>
      </c>
      <c r="D38" s="376">
        <v>3713</v>
      </c>
      <c r="E38" s="1247">
        <v>3713</v>
      </c>
      <c r="F38" s="1247">
        <v>294000</v>
      </c>
      <c r="G38" s="1254">
        <v>0</v>
      </c>
    </row>
    <row r="39" spans="1:7" ht="13.5" thickBot="1">
      <c r="A39" s="1255" t="s">
        <v>1041</v>
      </c>
      <c r="B39" s="1256">
        <f aca="true" t="shared" si="7" ref="B39:G39">SUM(B24:B38)</f>
        <v>4402566</v>
      </c>
      <c r="C39" s="1256">
        <f t="shared" si="7"/>
        <v>298740</v>
      </c>
      <c r="D39" s="1256">
        <f t="shared" si="7"/>
        <v>2823542</v>
      </c>
      <c r="E39" s="1256">
        <f t="shared" si="7"/>
        <v>107382</v>
      </c>
      <c r="F39" s="1256">
        <f t="shared" si="7"/>
        <v>3204272</v>
      </c>
      <c r="G39" s="1257">
        <f t="shared" si="7"/>
        <v>0</v>
      </c>
    </row>
    <row r="40" spans="1:7" ht="12.75">
      <c r="A40" s="622"/>
      <c r="B40" s="622"/>
      <c r="C40" s="622"/>
      <c r="D40" s="622"/>
      <c r="E40" s="622"/>
      <c r="F40" s="622"/>
      <c r="G40" s="622"/>
    </row>
    <row r="41" spans="1:7" ht="12.75">
      <c r="A41" s="1248" t="s">
        <v>172</v>
      </c>
      <c r="B41" s="622"/>
      <c r="C41" s="622"/>
      <c r="D41" s="622"/>
      <c r="E41" s="622"/>
      <c r="F41" s="622"/>
      <c r="G41" s="622"/>
    </row>
  </sheetData>
  <mergeCells count="8">
    <mergeCell ref="A19:G19"/>
    <mergeCell ref="A4:F4"/>
    <mergeCell ref="A21:F21"/>
    <mergeCell ref="A2:I2"/>
    <mergeCell ref="A6:A7"/>
    <mergeCell ref="B6:G6"/>
    <mergeCell ref="H6:H7"/>
    <mergeCell ref="I6:I7"/>
  </mergeCells>
  <printOptions horizontalCentered="1"/>
  <pageMargins left="0.7480314960629921" right="0.7480314960629921" top="0.984251968503937" bottom="0.984251968503937" header="0.5118110236220472" footer="0.5118110236220472"/>
  <pageSetup horizontalDpi="300" verticalDpi="300" orientation="portrait" paperSize="9" scale="67" r:id="rId1"/>
  <headerFooter alignWithMargins="0">
    <oddHeader>&amp;L17.melléklet a 14/2013.(V.2.)önkormányzati rendelethez
</oddHeader>
  </headerFooter>
  <colBreaks count="1" manualBreakCount="1">
    <brk id="9" max="40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dimension ref="A5:V91"/>
  <sheetViews>
    <sheetView view="pageBreakPreview" zoomScaleSheetLayoutView="100" workbookViewId="0" topLeftCell="A1">
      <selection activeCell="C55" sqref="C55"/>
    </sheetView>
  </sheetViews>
  <sheetFormatPr defaultColWidth="9.00390625" defaultRowHeight="12.75"/>
  <cols>
    <col min="1" max="1" width="61.875" style="800" customWidth="1"/>
    <col min="2" max="2" width="11.00390625" style="801" customWidth="1"/>
    <col min="3" max="3" width="9.125" style="801" customWidth="1"/>
    <col min="4" max="5" width="12.625" style="802" customWidth="1"/>
    <col min="6" max="6" width="9.25390625" style="802" customWidth="1"/>
    <col min="7" max="7" width="12.625" style="802" customWidth="1"/>
    <col min="8" max="8" width="12.00390625" style="799" customWidth="1"/>
    <col min="9" max="9" width="12.125" style="803" customWidth="1"/>
    <col min="10" max="16384" width="9.125" style="799" customWidth="1"/>
  </cols>
  <sheetData>
    <row r="5" spans="1:9" ht="12.75">
      <c r="A5" s="1347" t="s">
        <v>1204</v>
      </c>
      <c r="B5" s="1347"/>
      <c r="C5" s="1347"/>
      <c r="D5" s="1347"/>
      <c r="E5" s="1347"/>
      <c r="F5" s="1347"/>
      <c r="G5" s="1347"/>
      <c r="H5" s="1347"/>
      <c r="I5" s="1347"/>
    </row>
    <row r="6" ht="12.75" thickBot="1">
      <c r="A6" s="800" t="s">
        <v>77</v>
      </c>
    </row>
    <row r="7" spans="1:9" ht="12.75" customHeight="1">
      <c r="A7" s="1562" t="s">
        <v>1205</v>
      </c>
      <c r="B7" s="1558" t="s">
        <v>1206</v>
      </c>
      <c r="C7" s="1564"/>
      <c r="D7" s="1565"/>
      <c r="E7" s="1558" t="s">
        <v>1207</v>
      </c>
      <c r="F7" s="1564"/>
      <c r="G7" s="1565"/>
      <c r="H7" s="1558" t="s">
        <v>1208</v>
      </c>
      <c r="I7" s="1559"/>
    </row>
    <row r="8" spans="1:9" ht="12.75" customHeight="1" thickBot="1">
      <c r="A8" s="1563"/>
      <c r="B8" s="1566"/>
      <c r="C8" s="1567"/>
      <c r="D8" s="1568"/>
      <c r="E8" s="1566"/>
      <c r="F8" s="1567"/>
      <c r="G8" s="1568"/>
      <c r="H8" s="1560"/>
      <c r="I8" s="1561"/>
    </row>
    <row r="9" spans="1:9" ht="27" customHeight="1" thickTop="1">
      <c r="A9" s="912"/>
      <c r="B9" s="805" t="s">
        <v>1209</v>
      </c>
      <c r="C9" s="805" t="s">
        <v>1210</v>
      </c>
      <c r="D9" s="806" t="s">
        <v>1211</v>
      </c>
      <c r="E9" s="807" t="s">
        <v>1209</v>
      </c>
      <c r="F9" s="807" t="s">
        <v>1210</v>
      </c>
      <c r="G9" s="808" t="s">
        <v>1211</v>
      </c>
      <c r="H9" s="804" t="s">
        <v>1212</v>
      </c>
      <c r="I9" s="913" t="s">
        <v>1213</v>
      </c>
    </row>
    <row r="10" spans="1:9" ht="12">
      <c r="A10" s="914" t="s">
        <v>1214</v>
      </c>
      <c r="B10" s="809"/>
      <c r="C10" s="809"/>
      <c r="D10" s="810"/>
      <c r="E10" s="810"/>
      <c r="F10" s="810"/>
      <c r="G10" s="810"/>
      <c r="H10" s="811"/>
      <c r="I10" s="915"/>
    </row>
    <row r="11" spans="1:9" ht="12">
      <c r="A11" s="916" t="s">
        <v>1215</v>
      </c>
      <c r="B11" s="809">
        <v>23749</v>
      </c>
      <c r="C11" s="809">
        <v>4074</v>
      </c>
      <c r="D11" s="806">
        <f>B11*C11</f>
        <v>96753426</v>
      </c>
      <c r="E11" s="812">
        <v>23749</v>
      </c>
      <c r="F11" s="812">
        <v>4074</v>
      </c>
      <c r="G11" s="806">
        <f>E11*F11</f>
        <v>96753426</v>
      </c>
      <c r="H11" s="809">
        <f>G11-D11</f>
        <v>0</v>
      </c>
      <c r="I11" s="917"/>
    </row>
    <row r="12" spans="1:9" ht="12">
      <c r="A12" s="916" t="s">
        <v>1216</v>
      </c>
      <c r="B12" s="809">
        <v>652</v>
      </c>
      <c r="C12" s="809">
        <v>2612</v>
      </c>
      <c r="D12" s="806">
        <f>B12*C12</f>
        <v>1703024</v>
      </c>
      <c r="E12" s="812">
        <v>652</v>
      </c>
      <c r="F12" s="809">
        <v>2612</v>
      </c>
      <c r="G12" s="806">
        <f>E12*F12</f>
        <v>1703024</v>
      </c>
      <c r="H12" s="809">
        <f>G12-D12</f>
        <v>0</v>
      </c>
      <c r="I12" s="917"/>
    </row>
    <row r="13" spans="1:9" ht="12">
      <c r="A13" s="916" t="s">
        <v>1217</v>
      </c>
      <c r="B13" s="813"/>
      <c r="C13" s="813"/>
      <c r="D13" s="814"/>
      <c r="E13" s="815"/>
      <c r="F13" s="813"/>
      <c r="G13" s="814"/>
      <c r="H13" s="813"/>
      <c r="I13" s="917"/>
    </row>
    <row r="14" spans="1:9" ht="12">
      <c r="A14" s="916" t="s">
        <v>1218</v>
      </c>
      <c r="B14" s="813">
        <v>1</v>
      </c>
      <c r="C14" s="813">
        <v>3000000</v>
      </c>
      <c r="D14" s="814">
        <f>B14*C14</f>
        <v>3000000</v>
      </c>
      <c r="E14" s="815">
        <v>1</v>
      </c>
      <c r="F14" s="813">
        <v>3000000</v>
      </c>
      <c r="G14" s="814">
        <f>E14*F14</f>
        <v>3000000</v>
      </c>
      <c r="H14" s="813">
        <f>G14-D14</f>
        <v>0</v>
      </c>
      <c r="I14" s="917"/>
    </row>
    <row r="15" spans="1:9" ht="12">
      <c r="A15" s="916" t="s">
        <v>1219</v>
      </c>
      <c r="B15" s="813">
        <v>33391</v>
      </c>
      <c r="C15" s="813">
        <v>276</v>
      </c>
      <c r="D15" s="814">
        <f>B15*C15</f>
        <v>9215916</v>
      </c>
      <c r="E15" s="815">
        <v>33391</v>
      </c>
      <c r="F15" s="813">
        <v>276</v>
      </c>
      <c r="G15" s="814">
        <f>E15*F15</f>
        <v>9215916</v>
      </c>
      <c r="H15" s="813">
        <f>G15-D15</f>
        <v>0</v>
      </c>
      <c r="I15" s="917"/>
    </row>
    <row r="16" spans="1:9" ht="12">
      <c r="A16" s="916" t="s">
        <v>1220</v>
      </c>
      <c r="B16" s="813">
        <v>287</v>
      </c>
      <c r="C16" s="813">
        <v>28600</v>
      </c>
      <c r="D16" s="814">
        <f>B16*C16</f>
        <v>8208200</v>
      </c>
      <c r="E16" s="815">
        <v>287</v>
      </c>
      <c r="F16" s="813">
        <v>28600</v>
      </c>
      <c r="G16" s="814">
        <f>E16*F16</f>
        <v>8208200</v>
      </c>
      <c r="H16" s="813">
        <f>G16-D16</f>
        <v>0</v>
      </c>
      <c r="I16" s="917"/>
    </row>
    <row r="17" spans="1:9" ht="12">
      <c r="A17" s="916" t="s">
        <v>1221</v>
      </c>
      <c r="B17" s="813"/>
      <c r="C17" s="813"/>
      <c r="D17" s="814"/>
      <c r="E17" s="815"/>
      <c r="F17" s="813"/>
      <c r="G17" s="814"/>
      <c r="H17" s="813"/>
      <c r="I17" s="917"/>
    </row>
    <row r="18" spans="1:9" ht="12">
      <c r="A18" s="916" t="s">
        <v>1222</v>
      </c>
      <c r="B18" s="813">
        <v>39352</v>
      </c>
      <c r="C18" s="813">
        <v>56</v>
      </c>
      <c r="D18" s="814">
        <f>B18*C18</f>
        <v>2203712</v>
      </c>
      <c r="E18" s="815">
        <v>39352</v>
      </c>
      <c r="F18" s="813">
        <v>56</v>
      </c>
      <c r="G18" s="814">
        <f>E18*F18</f>
        <v>2203712</v>
      </c>
      <c r="H18" s="813">
        <f>G18-D18</f>
        <v>0</v>
      </c>
      <c r="I18" s="917"/>
    </row>
    <row r="19" spans="1:9" ht="12">
      <c r="A19" s="916" t="s">
        <v>1223</v>
      </c>
      <c r="B19" s="813">
        <v>2076</v>
      </c>
      <c r="C19" s="813">
        <v>7729</v>
      </c>
      <c r="D19" s="814">
        <f>B19*C19</f>
        <v>16045404</v>
      </c>
      <c r="E19" s="815">
        <v>2076</v>
      </c>
      <c r="F19" s="813">
        <v>7729</v>
      </c>
      <c r="G19" s="814">
        <f>E19*F19</f>
        <v>16045404</v>
      </c>
      <c r="H19" s="813">
        <f>G19-D19</f>
        <v>0</v>
      </c>
      <c r="I19" s="917"/>
    </row>
    <row r="20" spans="1:9" ht="12">
      <c r="A20" s="916" t="s">
        <v>1224</v>
      </c>
      <c r="B20" s="813">
        <f>16000000+4000000</f>
        <v>20000000</v>
      </c>
      <c r="C20" s="816">
        <v>1.5</v>
      </c>
      <c r="D20" s="814">
        <f>B20*C20</f>
        <v>30000000</v>
      </c>
      <c r="E20" s="815">
        <v>16464567</v>
      </c>
      <c r="F20" s="817">
        <v>1.5</v>
      </c>
      <c r="G20" s="814">
        <f>E20*F20</f>
        <v>24696850.5</v>
      </c>
      <c r="H20" s="813">
        <f>G20-D20</f>
        <v>-5303149.5</v>
      </c>
      <c r="I20" s="917">
        <v>-5303</v>
      </c>
    </row>
    <row r="21" spans="1:9" s="37" customFormat="1" ht="13.5">
      <c r="A21" s="918" t="s">
        <v>1225</v>
      </c>
      <c r="B21" s="818"/>
      <c r="C21" s="818"/>
      <c r="D21" s="819">
        <f>SUM(D11:D20)</f>
        <v>167129682</v>
      </c>
      <c r="E21" s="820"/>
      <c r="F21" s="820"/>
      <c r="G21" s="819">
        <f>SUM(G11:G20)</f>
        <v>161826532.5</v>
      </c>
      <c r="H21" s="821">
        <f>G21-D21</f>
        <v>-5303149.5</v>
      </c>
      <c r="I21" s="919">
        <f>SUM(I11:I20)</f>
        <v>-5303</v>
      </c>
    </row>
    <row r="22" spans="1:9" s="800" customFormat="1" ht="12">
      <c r="A22" s="920"/>
      <c r="B22" s="813"/>
      <c r="C22" s="813"/>
      <c r="D22" s="822"/>
      <c r="E22" s="823"/>
      <c r="F22" s="823"/>
      <c r="G22" s="822"/>
      <c r="H22" s="813"/>
      <c r="I22" s="917"/>
    </row>
    <row r="23" spans="1:9" ht="12">
      <c r="A23" s="916" t="s">
        <v>1226</v>
      </c>
      <c r="B23" s="813"/>
      <c r="C23" s="813" t="s">
        <v>1227</v>
      </c>
      <c r="D23" s="814">
        <v>63998668</v>
      </c>
      <c r="E23" s="815"/>
      <c r="F23" s="813" t="s">
        <v>1227</v>
      </c>
      <c r="G23" s="814">
        <v>63998668</v>
      </c>
      <c r="H23" s="813">
        <f>G23-D23</f>
        <v>0</v>
      </c>
      <c r="I23" s="917"/>
    </row>
    <row r="24" spans="1:9" ht="12">
      <c r="A24" s="916" t="s">
        <v>1228</v>
      </c>
      <c r="B24" s="824"/>
      <c r="C24" s="813"/>
      <c r="D24" s="814"/>
      <c r="E24" s="823"/>
      <c r="F24" s="823"/>
      <c r="G24" s="822"/>
      <c r="H24" s="813"/>
      <c r="I24" s="917"/>
    </row>
    <row r="25" spans="1:9" ht="12">
      <c r="A25" s="916" t="s">
        <v>1229</v>
      </c>
      <c r="B25" s="824">
        <v>7.8704</v>
      </c>
      <c r="C25" s="813">
        <v>3950000</v>
      </c>
      <c r="D25" s="814">
        <f>B25*C25/2</f>
        <v>15544040</v>
      </c>
      <c r="E25" s="824">
        <v>7.8704</v>
      </c>
      <c r="F25" s="813">
        <v>3950000</v>
      </c>
      <c r="G25" s="814">
        <f>E25*F25/2</f>
        <v>15544040</v>
      </c>
      <c r="H25" s="813">
        <f aca="true" t="shared" si="0" ref="H25:H34">G25-D25</f>
        <v>0</v>
      </c>
      <c r="I25" s="917"/>
    </row>
    <row r="26" spans="1:9" ht="12">
      <c r="A26" s="916" t="s">
        <v>1230</v>
      </c>
      <c r="B26" s="824">
        <v>7.8704</v>
      </c>
      <c r="C26" s="813">
        <v>3950000</v>
      </c>
      <c r="D26" s="814">
        <f>B26*C26/2</f>
        <v>15544040</v>
      </c>
      <c r="E26" s="824">
        <v>7.8704</v>
      </c>
      <c r="F26" s="813">
        <v>3950000</v>
      </c>
      <c r="G26" s="814">
        <f>E26*F26/2</f>
        <v>15544040</v>
      </c>
      <c r="H26" s="813">
        <f t="shared" si="0"/>
        <v>0</v>
      </c>
      <c r="I26" s="917"/>
    </row>
    <row r="27" spans="1:9" ht="12">
      <c r="A27" s="916" t="s">
        <v>1231</v>
      </c>
      <c r="B27" s="813">
        <v>90</v>
      </c>
      <c r="C27" s="813">
        <v>55360</v>
      </c>
      <c r="D27" s="822">
        <f aca="true" t="shared" si="1" ref="D27:D33">B27*C27</f>
        <v>4982400</v>
      </c>
      <c r="E27" s="823">
        <v>78</v>
      </c>
      <c r="F27" s="823">
        <v>55360</v>
      </c>
      <c r="G27" s="822">
        <f aca="true" t="shared" si="2" ref="G27:G33">E27*F27</f>
        <v>4318080</v>
      </c>
      <c r="H27" s="813">
        <f t="shared" si="0"/>
        <v>-664320</v>
      </c>
      <c r="I27" s="917">
        <v>-664</v>
      </c>
    </row>
    <row r="28" spans="1:9" ht="12">
      <c r="A28" s="916" t="s">
        <v>1232</v>
      </c>
      <c r="B28" s="813">
        <v>21</v>
      </c>
      <c r="C28" s="813">
        <v>166080</v>
      </c>
      <c r="D28" s="822">
        <f t="shared" si="1"/>
        <v>3487680</v>
      </c>
      <c r="E28" s="823">
        <v>22</v>
      </c>
      <c r="F28" s="823">
        <v>166080</v>
      </c>
      <c r="G28" s="822">
        <f t="shared" si="2"/>
        <v>3653760</v>
      </c>
      <c r="H28" s="813">
        <f t="shared" si="0"/>
        <v>166080</v>
      </c>
      <c r="I28" s="917">
        <v>166</v>
      </c>
    </row>
    <row r="29" spans="1:9" ht="12">
      <c r="A29" s="916" t="s">
        <v>1233</v>
      </c>
      <c r="B29" s="813">
        <v>65</v>
      </c>
      <c r="C29" s="813">
        <v>88580</v>
      </c>
      <c r="D29" s="822">
        <f t="shared" si="1"/>
        <v>5757700</v>
      </c>
      <c r="E29" s="823">
        <v>65</v>
      </c>
      <c r="F29" s="823">
        <v>88580</v>
      </c>
      <c r="G29" s="822">
        <f t="shared" si="2"/>
        <v>5757700</v>
      </c>
      <c r="H29" s="813">
        <f t="shared" si="0"/>
        <v>0</v>
      </c>
      <c r="I29" s="917"/>
    </row>
    <row r="30" spans="1:9" ht="12">
      <c r="A30" s="916" t="s">
        <v>1234</v>
      </c>
      <c r="B30" s="813">
        <v>26</v>
      </c>
      <c r="C30" s="813">
        <v>405600</v>
      </c>
      <c r="D30" s="822">
        <f t="shared" si="1"/>
        <v>10545600</v>
      </c>
      <c r="E30" s="823">
        <v>25</v>
      </c>
      <c r="F30" s="823">
        <v>405600</v>
      </c>
      <c r="G30" s="822">
        <f t="shared" si="2"/>
        <v>10140000</v>
      </c>
      <c r="H30" s="813">
        <f t="shared" si="0"/>
        <v>-405600</v>
      </c>
      <c r="I30" s="917">
        <v>-406</v>
      </c>
    </row>
    <row r="31" spans="1:9" ht="12">
      <c r="A31" s="916" t="s">
        <v>1235</v>
      </c>
      <c r="B31" s="813">
        <v>36</v>
      </c>
      <c r="C31" s="813">
        <v>206100</v>
      </c>
      <c r="D31" s="822">
        <f t="shared" si="1"/>
        <v>7419600</v>
      </c>
      <c r="E31" s="823">
        <v>49</v>
      </c>
      <c r="F31" s="823">
        <v>206100</v>
      </c>
      <c r="G31" s="822">
        <f t="shared" si="2"/>
        <v>10098900</v>
      </c>
      <c r="H31" s="813">
        <f t="shared" si="0"/>
        <v>2679300</v>
      </c>
      <c r="I31" s="917">
        <v>2679</v>
      </c>
    </row>
    <row r="32" spans="1:9" ht="12">
      <c r="A32" s="916" t="s">
        <v>1236</v>
      </c>
      <c r="B32" s="813">
        <v>32</v>
      </c>
      <c r="C32" s="813">
        <v>468350</v>
      </c>
      <c r="D32" s="822">
        <f t="shared" si="1"/>
        <v>14987200</v>
      </c>
      <c r="E32" s="823">
        <v>32</v>
      </c>
      <c r="F32" s="823">
        <v>468350</v>
      </c>
      <c r="G32" s="822">
        <f t="shared" si="2"/>
        <v>14987200</v>
      </c>
      <c r="H32" s="809">
        <f t="shared" si="0"/>
        <v>0</v>
      </c>
      <c r="I32" s="917"/>
    </row>
    <row r="33" spans="1:9" ht="12">
      <c r="A33" s="916" t="s">
        <v>1237</v>
      </c>
      <c r="B33" s="809">
        <v>59</v>
      </c>
      <c r="C33" s="809">
        <v>494100</v>
      </c>
      <c r="D33" s="810">
        <f t="shared" si="1"/>
        <v>29151900</v>
      </c>
      <c r="E33" s="825">
        <v>60</v>
      </c>
      <c r="F33" s="825">
        <v>494100</v>
      </c>
      <c r="G33" s="822">
        <f t="shared" si="2"/>
        <v>29646000</v>
      </c>
      <c r="H33" s="809">
        <f t="shared" si="0"/>
        <v>494100</v>
      </c>
      <c r="I33" s="917">
        <v>494</v>
      </c>
    </row>
    <row r="34" spans="1:12" s="37" customFormat="1" ht="13.5">
      <c r="A34" s="918" t="s">
        <v>1238</v>
      </c>
      <c r="B34" s="818"/>
      <c r="C34" s="818"/>
      <c r="D34" s="819">
        <f>SUM(D23:D33)</f>
        <v>171418828</v>
      </c>
      <c r="E34" s="820"/>
      <c r="F34" s="820"/>
      <c r="G34" s="819">
        <f>SUM(G23:G33)</f>
        <v>173688388</v>
      </c>
      <c r="H34" s="821">
        <f t="shared" si="0"/>
        <v>2269560</v>
      </c>
      <c r="I34" s="921">
        <f>SUM(I23:I33)</f>
        <v>2269</v>
      </c>
      <c r="J34" s="826"/>
      <c r="K34" s="826"/>
      <c r="L34" s="826"/>
    </row>
    <row r="35" spans="1:9" s="800" customFormat="1" ht="12">
      <c r="A35" s="916"/>
      <c r="B35" s="813"/>
      <c r="C35" s="813"/>
      <c r="D35" s="822"/>
      <c r="E35" s="823"/>
      <c r="F35" s="823"/>
      <c r="G35" s="822"/>
      <c r="H35" s="813"/>
      <c r="I35" s="917"/>
    </row>
    <row r="36" spans="1:12" ht="12">
      <c r="A36" s="916" t="s">
        <v>1239</v>
      </c>
      <c r="B36" s="813"/>
      <c r="C36" s="813"/>
      <c r="D36" s="822"/>
      <c r="E36" s="823"/>
      <c r="F36" s="823"/>
      <c r="G36" s="822"/>
      <c r="H36" s="813"/>
      <c r="I36" s="917"/>
      <c r="J36" s="800"/>
      <c r="K36" s="800"/>
      <c r="L36" s="800"/>
    </row>
    <row r="37" spans="1:9" ht="12">
      <c r="A37" s="916" t="s">
        <v>1240</v>
      </c>
      <c r="B37" s="809">
        <v>594</v>
      </c>
      <c r="C37" s="809">
        <v>2350000</v>
      </c>
      <c r="D37" s="822">
        <v>75356667</v>
      </c>
      <c r="E37" s="825">
        <v>609</v>
      </c>
      <c r="F37" s="809">
        <v>2350000</v>
      </c>
      <c r="G37" s="822">
        <v>77236667</v>
      </c>
      <c r="H37" s="809">
        <f aca="true" t="shared" si="3" ref="H37:H63">G37-D37</f>
        <v>1880000</v>
      </c>
      <c r="I37" s="917">
        <v>1880</v>
      </c>
    </row>
    <row r="38" spans="1:9" ht="12">
      <c r="A38" s="916" t="s">
        <v>1241</v>
      </c>
      <c r="B38" s="809">
        <f>590+2</f>
        <v>592</v>
      </c>
      <c r="C38" s="809">
        <v>2350000</v>
      </c>
      <c r="D38" s="822">
        <f>37443333+156667</f>
        <v>37600000</v>
      </c>
      <c r="E38" s="825">
        <v>617</v>
      </c>
      <c r="F38" s="809">
        <v>2350000</v>
      </c>
      <c r="G38" s="822">
        <v>39166667</v>
      </c>
      <c r="H38" s="827">
        <f t="shared" si="3"/>
        <v>1566667</v>
      </c>
      <c r="I38" s="917">
        <v>1567</v>
      </c>
    </row>
    <row r="39" spans="1:9" ht="12">
      <c r="A39" s="916" t="s">
        <v>1242</v>
      </c>
      <c r="B39" s="813">
        <f>458+234+249</f>
        <v>941</v>
      </c>
      <c r="C39" s="813">
        <v>2350000</v>
      </c>
      <c r="D39" s="822">
        <f>41046667+21306667+25850000</f>
        <v>88203334</v>
      </c>
      <c r="E39" s="823">
        <f>464+234+247</f>
        <v>945</v>
      </c>
      <c r="F39" s="823">
        <v>2350000</v>
      </c>
      <c r="G39" s="822">
        <f>41516667+21306667+25536667</f>
        <v>88360001</v>
      </c>
      <c r="H39" s="827">
        <f t="shared" si="3"/>
        <v>156667</v>
      </c>
      <c r="I39" s="917">
        <v>157</v>
      </c>
    </row>
    <row r="40" spans="1:9" ht="12">
      <c r="A40" s="916" t="s">
        <v>1243</v>
      </c>
      <c r="B40" s="813">
        <f>439+464</f>
        <v>903</v>
      </c>
      <c r="C40" s="813">
        <v>2350000</v>
      </c>
      <c r="D40" s="822">
        <f>46373333+55616667</f>
        <v>101990000</v>
      </c>
      <c r="E40" s="823">
        <f>440+464</f>
        <v>904</v>
      </c>
      <c r="F40" s="823">
        <v>2350000</v>
      </c>
      <c r="G40" s="822">
        <f>46530000+55616667</f>
        <v>102146667</v>
      </c>
      <c r="H40" s="809">
        <f t="shared" si="3"/>
        <v>156667</v>
      </c>
      <c r="I40" s="917">
        <v>157</v>
      </c>
    </row>
    <row r="41" spans="1:9" ht="12">
      <c r="A41" s="916" t="s">
        <v>1244</v>
      </c>
      <c r="B41" s="813">
        <f>456+231+232+17+9-14-1</f>
        <v>930</v>
      </c>
      <c r="C41" s="813">
        <v>2350000</v>
      </c>
      <c r="D41" s="822">
        <f>20445000+10496667+12063333+705000+391666-783333</f>
        <v>43318333</v>
      </c>
      <c r="E41" s="823">
        <f>500+229+239</f>
        <v>968</v>
      </c>
      <c r="F41" s="823">
        <v>2350000</v>
      </c>
      <c r="G41" s="822">
        <f>22403333+10418333+12376667</f>
        <v>45198333</v>
      </c>
      <c r="H41" s="827">
        <f t="shared" si="3"/>
        <v>1880000</v>
      </c>
      <c r="I41" s="917">
        <v>1880</v>
      </c>
    </row>
    <row r="42" spans="1:9" ht="12">
      <c r="A42" s="916" t="s">
        <v>1245</v>
      </c>
      <c r="B42" s="813">
        <f>902+20-10-6-1</f>
        <v>905</v>
      </c>
      <c r="C42" s="813">
        <v>2350000</v>
      </c>
      <c r="D42" s="822">
        <f>24518333+26163333+1096667-548333-313333-78333</f>
        <v>50838334</v>
      </c>
      <c r="E42" s="823">
        <f>455+435</f>
        <v>890</v>
      </c>
      <c r="F42" s="823">
        <v>2350000</v>
      </c>
      <c r="G42" s="822">
        <f>24048333+26085000</f>
        <v>50133333</v>
      </c>
      <c r="H42" s="827">
        <f t="shared" si="3"/>
        <v>-705001</v>
      </c>
      <c r="I42" s="917">
        <v>-705</v>
      </c>
    </row>
    <row r="43" spans="1:9" ht="12">
      <c r="A43" s="916" t="s">
        <v>1246</v>
      </c>
      <c r="B43" s="813">
        <v>0</v>
      </c>
      <c r="C43" s="813">
        <v>224000</v>
      </c>
      <c r="D43" s="822">
        <v>0</v>
      </c>
      <c r="E43" s="823">
        <v>1</v>
      </c>
      <c r="F43" s="823">
        <v>224000</v>
      </c>
      <c r="G43" s="822">
        <v>149333</v>
      </c>
      <c r="H43" s="827">
        <f t="shared" si="3"/>
        <v>149333</v>
      </c>
      <c r="I43" s="917">
        <v>149</v>
      </c>
    </row>
    <row r="44" spans="1:9" ht="12">
      <c r="A44" s="916" t="s">
        <v>1247</v>
      </c>
      <c r="B44" s="813">
        <v>1</v>
      </c>
      <c r="C44" s="813">
        <v>224000</v>
      </c>
      <c r="D44" s="822">
        <v>74667</v>
      </c>
      <c r="E44" s="823">
        <v>2</v>
      </c>
      <c r="F44" s="823">
        <v>224000</v>
      </c>
      <c r="G44" s="822">
        <v>149333</v>
      </c>
      <c r="H44" s="827">
        <f t="shared" si="3"/>
        <v>74666</v>
      </c>
      <c r="I44" s="917">
        <v>75</v>
      </c>
    </row>
    <row r="45" spans="1:9" ht="12">
      <c r="A45" s="916" t="s">
        <v>1248</v>
      </c>
      <c r="B45" s="813">
        <v>2</v>
      </c>
      <c r="C45" s="813">
        <v>358400</v>
      </c>
      <c r="D45" s="822">
        <v>477867</v>
      </c>
      <c r="E45" s="823">
        <v>6</v>
      </c>
      <c r="F45" s="823">
        <v>358400</v>
      </c>
      <c r="G45" s="822">
        <v>1433600</v>
      </c>
      <c r="H45" s="809">
        <f t="shared" si="3"/>
        <v>955733</v>
      </c>
      <c r="I45" s="917">
        <v>956</v>
      </c>
    </row>
    <row r="46" spans="1:9" ht="12">
      <c r="A46" s="916" t="s">
        <v>1249</v>
      </c>
      <c r="B46" s="813">
        <v>1</v>
      </c>
      <c r="C46" s="813">
        <v>358400</v>
      </c>
      <c r="D46" s="822">
        <v>119467</v>
      </c>
      <c r="E46" s="823">
        <v>9</v>
      </c>
      <c r="F46" s="823">
        <v>358400</v>
      </c>
      <c r="G46" s="822">
        <v>1075200</v>
      </c>
      <c r="H46" s="809">
        <f t="shared" si="3"/>
        <v>955733</v>
      </c>
      <c r="I46" s="917">
        <v>956</v>
      </c>
    </row>
    <row r="47" spans="1:9" ht="12">
      <c r="A47" s="916" t="s">
        <v>1250</v>
      </c>
      <c r="B47" s="813">
        <v>1</v>
      </c>
      <c r="C47" s="813">
        <v>179200</v>
      </c>
      <c r="D47" s="822">
        <v>119467</v>
      </c>
      <c r="E47" s="823">
        <v>7</v>
      </c>
      <c r="F47" s="823">
        <v>179200</v>
      </c>
      <c r="G47" s="822">
        <v>836267</v>
      </c>
      <c r="H47" s="809">
        <f t="shared" si="3"/>
        <v>716800</v>
      </c>
      <c r="I47" s="917">
        <v>717</v>
      </c>
    </row>
    <row r="48" spans="1:9" ht="12">
      <c r="A48" s="916" t="s">
        <v>1251</v>
      </c>
      <c r="B48" s="813">
        <v>1</v>
      </c>
      <c r="C48" s="813">
        <v>179200</v>
      </c>
      <c r="D48" s="822">
        <v>59733</v>
      </c>
      <c r="E48" s="823">
        <v>6</v>
      </c>
      <c r="F48" s="823">
        <v>179200</v>
      </c>
      <c r="G48" s="822">
        <v>358400</v>
      </c>
      <c r="H48" s="809">
        <f t="shared" si="3"/>
        <v>298667</v>
      </c>
      <c r="I48" s="917">
        <v>298</v>
      </c>
    </row>
    <row r="49" spans="1:9" ht="12" customHeight="1">
      <c r="A49" s="922" t="s">
        <v>1252</v>
      </c>
      <c r="B49" s="813">
        <v>23</v>
      </c>
      <c r="C49" s="813">
        <v>156800</v>
      </c>
      <c r="D49" s="822">
        <v>2404267</v>
      </c>
      <c r="E49" s="823">
        <v>26</v>
      </c>
      <c r="F49" s="823">
        <v>156800</v>
      </c>
      <c r="G49" s="822">
        <v>2717867</v>
      </c>
      <c r="H49" s="809">
        <f t="shared" si="3"/>
        <v>313600</v>
      </c>
      <c r="I49" s="917">
        <v>313</v>
      </c>
    </row>
    <row r="50" spans="1:9" ht="12" customHeight="1">
      <c r="A50" s="922" t="s">
        <v>1253</v>
      </c>
      <c r="B50" s="813">
        <v>20</v>
      </c>
      <c r="C50" s="813">
        <v>156800</v>
      </c>
      <c r="D50" s="822">
        <v>1045333</v>
      </c>
      <c r="E50" s="823">
        <v>29</v>
      </c>
      <c r="F50" s="823">
        <v>156800</v>
      </c>
      <c r="G50" s="822">
        <v>1515733</v>
      </c>
      <c r="H50" s="809">
        <f t="shared" si="3"/>
        <v>470400</v>
      </c>
      <c r="I50" s="917">
        <v>470</v>
      </c>
    </row>
    <row r="51" spans="1:9" ht="12">
      <c r="A51" s="916" t="s">
        <v>1254</v>
      </c>
      <c r="B51" s="813">
        <v>321</v>
      </c>
      <c r="C51" s="813">
        <v>2350000</v>
      </c>
      <c r="D51" s="822">
        <v>22560000</v>
      </c>
      <c r="E51" s="823">
        <v>321</v>
      </c>
      <c r="F51" s="813">
        <v>2350000</v>
      </c>
      <c r="G51" s="822">
        <v>22560000</v>
      </c>
      <c r="H51" s="809">
        <f t="shared" si="3"/>
        <v>0</v>
      </c>
      <c r="I51" s="917"/>
    </row>
    <row r="52" spans="1:9" ht="12">
      <c r="A52" s="916" t="s">
        <v>1255</v>
      </c>
      <c r="B52" s="813">
        <f>330+153-27</f>
        <v>456</v>
      </c>
      <c r="C52" s="813">
        <v>2350000</v>
      </c>
      <c r="D52" s="822">
        <f>11671667+5326666-940000</f>
        <v>16058333</v>
      </c>
      <c r="E52" s="823">
        <v>456</v>
      </c>
      <c r="F52" s="813">
        <v>2350000</v>
      </c>
      <c r="G52" s="822">
        <v>16058333</v>
      </c>
      <c r="H52" s="827">
        <f t="shared" si="3"/>
        <v>0</v>
      </c>
      <c r="I52" s="917"/>
    </row>
    <row r="53" spans="1:9" ht="12">
      <c r="A53" s="916" t="s">
        <v>1256</v>
      </c>
      <c r="B53" s="813">
        <v>59</v>
      </c>
      <c r="C53" s="813">
        <v>2350000</v>
      </c>
      <c r="D53" s="822">
        <v>1723333</v>
      </c>
      <c r="E53" s="823">
        <v>59</v>
      </c>
      <c r="F53" s="813">
        <v>2350000</v>
      </c>
      <c r="G53" s="822">
        <v>1723333</v>
      </c>
      <c r="H53" s="809">
        <f t="shared" si="3"/>
        <v>0</v>
      </c>
      <c r="I53" s="917"/>
    </row>
    <row r="54" spans="1:9" ht="12">
      <c r="A54" s="916" t="s">
        <v>1257</v>
      </c>
      <c r="B54" s="813">
        <f>75-24</f>
        <v>51</v>
      </c>
      <c r="C54" s="813">
        <v>2350000</v>
      </c>
      <c r="D54" s="822">
        <f>1096667-391667</f>
        <v>705000</v>
      </c>
      <c r="E54" s="823">
        <v>55</v>
      </c>
      <c r="F54" s="813">
        <v>2350000</v>
      </c>
      <c r="G54" s="822">
        <v>783333</v>
      </c>
      <c r="H54" s="827">
        <f t="shared" si="3"/>
        <v>78333</v>
      </c>
      <c r="I54" s="917">
        <v>78</v>
      </c>
    </row>
    <row r="55" spans="1:9" ht="12">
      <c r="A55" s="916" t="s">
        <v>1258</v>
      </c>
      <c r="B55" s="813"/>
      <c r="C55" s="813"/>
      <c r="D55" s="822">
        <f>B55*C55</f>
        <v>0</v>
      </c>
      <c r="E55" s="823"/>
      <c r="F55" s="823"/>
      <c r="G55" s="822">
        <f>E55*F55</f>
        <v>0</v>
      </c>
      <c r="H55" s="809">
        <f t="shared" si="3"/>
        <v>0</v>
      </c>
      <c r="I55" s="917"/>
    </row>
    <row r="56" spans="1:9" ht="12">
      <c r="A56" s="916" t="s">
        <v>1259</v>
      </c>
      <c r="B56" s="813">
        <v>668</v>
      </c>
      <c r="C56" s="813">
        <v>2350000</v>
      </c>
      <c r="D56" s="822">
        <v>10026667</v>
      </c>
      <c r="E56" s="823">
        <v>744</v>
      </c>
      <c r="F56" s="813">
        <v>2350000</v>
      </c>
      <c r="G56" s="822">
        <v>11123333</v>
      </c>
      <c r="H56" s="809">
        <f t="shared" si="3"/>
        <v>1096666</v>
      </c>
      <c r="I56" s="917">
        <v>1096</v>
      </c>
    </row>
    <row r="57" spans="1:9" ht="12">
      <c r="A57" s="916" t="s">
        <v>1260</v>
      </c>
      <c r="B57" s="813">
        <v>153</v>
      </c>
      <c r="C57" s="813">
        <v>2350000</v>
      </c>
      <c r="D57" s="822">
        <v>1566667</v>
      </c>
      <c r="E57" s="823">
        <v>128</v>
      </c>
      <c r="F57" s="813">
        <v>2350000</v>
      </c>
      <c r="G57" s="822">
        <v>1253333</v>
      </c>
      <c r="H57" s="809">
        <f t="shared" si="3"/>
        <v>-313334</v>
      </c>
      <c r="I57" s="917">
        <v>-313</v>
      </c>
    </row>
    <row r="58" spans="1:9" ht="12">
      <c r="A58" s="916" t="s">
        <v>1261</v>
      </c>
      <c r="B58" s="813">
        <v>663</v>
      </c>
      <c r="C58" s="813">
        <v>2350000</v>
      </c>
      <c r="D58" s="822">
        <v>5013333</v>
      </c>
      <c r="E58" s="823">
        <v>941</v>
      </c>
      <c r="F58" s="813">
        <v>2350000</v>
      </c>
      <c r="G58" s="822">
        <v>7050000</v>
      </c>
      <c r="H58" s="809">
        <f t="shared" si="3"/>
        <v>2036667</v>
      </c>
      <c r="I58" s="917">
        <v>2037</v>
      </c>
    </row>
    <row r="59" spans="1:9" ht="12">
      <c r="A59" s="916" t="s">
        <v>1262</v>
      </c>
      <c r="B59" s="813">
        <v>225</v>
      </c>
      <c r="C59" s="813">
        <v>2350000</v>
      </c>
      <c r="D59" s="822">
        <v>1096667</v>
      </c>
      <c r="E59" s="823">
        <v>141</v>
      </c>
      <c r="F59" s="813">
        <v>2350000</v>
      </c>
      <c r="G59" s="822">
        <v>705000</v>
      </c>
      <c r="H59" s="809">
        <f t="shared" si="3"/>
        <v>-391667</v>
      </c>
      <c r="I59" s="917">
        <v>-392</v>
      </c>
    </row>
    <row r="60" spans="1:9" ht="12">
      <c r="A60" s="916" t="s">
        <v>1263</v>
      </c>
      <c r="B60" s="813">
        <v>97</v>
      </c>
      <c r="C60" s="813">
        <v>40000</v>
      </c>
      <c r="D60" s="822">
        <v>2586667</v>
      </c>
      <c r="E60" s="823">
        <v>97</v>
      </c>
      <c r="F60" s="823">
        <v>40000</v>
      </c>
      <c r="G60" s="822">
        <v>2586667</v>
      </c>
      <c r="H60" s="809">
        <f t="shared" si="3"/>
        <v>0</v>
      </c>
      <c r="I60" s="917"/>
    </row>
    <row r="61" spans="1:9" ht="12">
      <c r="A61" s="916" t="s">
        <v>1264</v>
      </c>
      <c r="B61" s="813">
        <v>87</v>
      </c>
      <c r="C61" s="813">
        <v>40000</v>
      </c>
      <c r="D61" s="822">
        <v>1160000</v>
      </c>
      <c r="E61" s="823">
        <v>83</v>
      </c>
      <c r="F61" s="823">
        <v>40000</v>
      </c>
      <c r="G61" s="822">
        <v>1106667</v>
      </c>
      <c r="H61" s="809">
        <f t="shared" si="3"/>
        <v>-53333</v>
      </c>
      <c r="I61" s="917">
        <v>-53</v>
      </c>
    </row>
    <row r="62" spans="1:9" ht="12">
      <c r="A62" s="923"/>
      <c r="B62" s="813"/>
      <c r="C62" s="813"/>
      <c r="D62" s="822">
        <f>B62*C62</f>
        <v>0</v>
      </c>
      <c r="E62" s="823"/>
      <c r="F62" s="823"/>
      <c r="G62" s="822">
        <f>E62*F62</f>
        <v>0</v>
      </c>
      <c r="H62" s="809">
        <f t="shared" si="3"/>
        <v>0</v>
      </c>
      <c r="I62" s="917"/>
    </row>
    <row r="63" spans="1:9" s="37" customFormat="1" ht="14.25" thickBot="1">
      <c r="A63" s="924" t="s">
        <v>1265</v>
      </c>
      <c r="B63" s="925"/>
      <c r="C63" s="925"/>
      <c r="D63" s="926">
        <f>SUM(D36:D62)</f>
        <v>464104136</v>
      </c>
      <c r="E63" s="927"/>
      <c r="F63" s="927"/>
      <c r="G63" s="926">
        <f>SUM(G36:G62)</f>
        <v>475427400</v>
      </c>
      <c r="H63" s="928">
        <f t="shared" si="3"/>
        <v>11323264</v>
      </c>
      <c r="I63" s="929">
        <f>SUM(I37:I62)</f>
        <v>11323</v>
      </c>
    </row>
    <row r="64" spans="1:9" s="37" customFormat="1" ht="13.5">
      <c r="A64" s="829"/>
      <c r="B64" s="830"/>
      <c r="C64" s="830"/>
      <c r="D64" s="831"/>
      <c r="E64" s="832"/>
      <c r="F64" s="832"/>
      <c r="G64" s="831"/>
      <c r="H64" s="833"/>
      <c r="I64" s="834"/>
    </row>
    <row r="65" spans="1:9" s="37" customFormat="1" ht="13.5">
      <c r="A65" s="829"/>
      <c r="B65" s="830"/>
      <c r="C65" s="830"/>
      <c r="D65" s="831"/>
      <c r="E65" s="832"/>
      <c r="F65" s="832"/>
      <c r="G65" s="831"/>
      <c r="H65" s="833"/>
      <c r="I65" s="834"/>
    </row>
    <row r="66" spans="1:9" s="37" customFormat="1" ht="13.5">
      <c r="A66" s="829"/>
      <c r="B66" s="830"/>
      <c r="C66" s="830"/>
      <c r="D66" s="831"/>
      <c r="E66" s="832"/>
      <c r="F66" s="832"/>
      <c r="G66" s="831"/>
      <c r="H66" s="833"/>
      <c r="I66" s="834"/>
    </row>
    <row r="67" spans="1:9" ht="12.75" thickBot="1">
      <c r="A67" s="930"/>
      <c r="B67" s="848"/>
      <c r="C67" s="848"/>
      <c r="D67" s="849"/>
      <c r="E67" s="848"/>
      <c r="F67" s="848"/>
      <c r="G67" s="849"/>
      <c r="H67" s="848"/>
      <c r="I67" s="850"/>
    </row>
    <row r="68" spans="1:9" s="835" customFormat="1" ht="13.5">
      <c r="A68" s="931" t="s">
        <v>1266</v>
      </c>
      <c r="B68" s="932"/>
      <c r="C68" s="932"/>
      <c r="D68" s="933">
        <f>D21+D34+D63</f>
        <v>802652646</v>
      </c>
      <c r="E68" s="934"/>
      <c r="F68" s="934"/>
      <c r="G68" s="933">
        <f>G21+G34+G63</f>
        <v>810942320.5</v>
      </c>
      <c r="H68" s="935">
        <f aca="true" t="shared" si="4" ref="H68:H88">G68-D68</f>
        <v>8289674.5</v>
      </c>
      <c r="I68" s="936">
        <f>I21+I34+I63</f>
        <v>8289</v>
      </c>
    </row>
    <row r="69" spans="1:9" ht="12">
      <c r="A69" s="916" t="s">
        <v>1267</v>
      </c>
      <c r="B69" s="809">
        <v>6</v>
      </c>
      <c r="C69" s="809">
        <v>1200000</v>
      </c>
      <c r="D69" s="810">
        <v>4800000</v>
      </c>
      <c r="E69" s="825">
        <v>6</v>
      </c>
      <c r="F69" s="825">
        <v>1200000</v>
      </c>
      <c r="G69" s="810">
        <v>4800000</v>
      </c>
      <c r="H69" s="809">
        <f t="shared" si="4"/>
        <v>0</v>
      </c>
      <c r="I69" s="917"/>
    </row>
    <row r="70" spans="1:9" ht="12">
      <c r="A70" s="916" t="s">
        <v>0</v>
      </c>
      <c r="B70" s="809">
        <v>6</v>
      </c>
      <c r="C70" s="809">
        <v>1200000</v>
      </c>
      <c r="D70" s="810">
        <v>2400000</v>
      </c>
      <c r="E70" s="825">
        <v>7</v>
      </c>
      <c r="F70" s="809">
        <v>1200000</v>
      </c>
      <c r="G70" s="810">
        <v>2800000</v>
      </c>
      <c r="H70" s="809">
        <f t="shared" si="4"/>
        <v>400000</v>
      </c>
      <c r="I70" s="917">
        <v>400</v>
      </c>
    </row>
    <row r="71" spans="1:9" ht="12">
      <c r="A71" s="916" t="s">
        <v>1</v>
      </c>
      <c r="B71" s="809">
        <v>236</v>
      </c>
      <c r="C71" s="809">
        <v>6300</v>
      </c>
      <c r="D71" s="810">
        <v>991200</v>
      </c>
      <c r="E71" s="825">
        <v>193</v>
      </c>
      <c r="F71" s="825">
        <v>6300</v>
      </c>
      <c r="G71" s="810">
        <v>810600</v>
      </c>
      <c r="H71" s="809">
        <f t="shared" si="4"/>
        <v>-180600</v>
      </c>
      <c r="I71" s="917">
        <v>-181</v>
      </c>
    </row>
    <row r="72" spans="1:9" ht="12">
      <c r="A72" s="916" t="s">
        <v>2</v>
      </c>
      <c r="B72" s="809">
        <f>236+10</f>
        <v>246</v>
      </c>
      <c r="C72" s="809">
        <v>6300</v>
      </c>
      <c r="D72" s="810">
        <f>495600+21000</f>
        <v>516600</v>
      </c>
      <c r="E72" s="825">
        <v>202</v>
      </c>
      <c r="F72" s="825">
        <v>6300</v>
      </c>
      <c r="G72" s="810">
        <v>424200</v>
      </c>
      <c r="H72" s="809">
        <f t="shared" si="4"/>
        <v>-92400</v>
      </c>
      <c r="I72" s="917">
        <v>-92</v>
      </c>
    </row>
    <row r="73" spans="1:9" ht="12">
      <c r="A73" s="923" t="s">
        <v>3</v>
      </c>
      <c r="B73" s="809">
        <v>79</v>
      </c>
      <c r="C73" s="809">
        <v>26000</v>
      </c>
      <c r="D73" s="810">
        <v>1369333</v>
      </c>
      <c r="E73" s="825">
        <v>79</v>
      </c>
      <c r="F73" s="809">
        <v>26000</v>
      </c>
      <c r="G73" s="810">
        <v>1369333</v>
      </c>
      <c r="H73" s="809">
        <f t="shared" si="4"/>
        <v>0</v>
      </c>
      <c r="I73" s="917"/>
    </row>
    <row r="74" spans="1:9" ht="12">
      <c r="A74" s="923" t="s">
        <v>4</v>
      </c>
      <c r="B74" s="809">
        <f>79+1</f>
        <v>80</v>
      </c>
      <c r="C74" s="809">
        <v>26000</v>
      </c>
      <c r="D74" s="810">
        <f>684667+8666</f>
        <v>693333</v>
      </c>
      <c r="E74" s="825">
        <v>80</v>
      </c>
      <c r="F74" s="809">
        <v>26000</v>
      </c>
      <c r="G74" s="810">
        <v>693333</v>
      </c>
      <c r="H74" s="809">
        <f t="shared" si="4"/>
        <v>0</v>
      </c>
      <c r="I74" s="917"/>
    </row>
    <row r="75" spans="1:9" ht="12">
      <c r="A75" s="923" t="s">
        <v>5</v>
      </c>
      <c r="B75" s="809">
        <v>3</v>
      </c>
      <c r="C75" s="809">
        <v>65000</v>
      </c>
      <c r="D75" s="810">
        <v>130000</v>
      </c>
      <c r="E75" s="825">
        <v>3</v>
      </c>
      <c r="F75" s="809">
        <v>65000</v>
      </c>
      <c r="G75" s="810">
        <v>130000</v>
      </c>
      <c r="H75" s="809">
        <f t="shared" si="4"/>
        <v>0</v>
      </c>
      <c r="I75" s="917"/>
    </row>
    <row r="76" spans="1:9" ht="12">
      <c r="A76" s="923" t="s">
        <v>6</v>
      </c>
      <c r="B76" s="809">
        <v>3</v>
      </c>
      <c r="C76" s="809">
        <v>65000</v>
      </c>
      <c r="D76" s="810">
        <v>65000</v>
      </c>
      <c r="E76" s="825">
        <v>3</v>
      </c>
      <c r="F76" s="809">
        <v>65000</v>
      </c>
      <c r="G76" s="810">
        <v>65000</v>
      </c>
      <c r="H76" s="809">
        <f t="shared" si="4"/>
        <v>0</v>
      </c>
      <c r="I76" s="917"/>
    </row>
    <row r="77" spans="1:9" ht="12">
      <c r="A77" s="916" t="s">
        <v>7</v>
      </c>
      <c r="B77" s="809">
        <f>661-20</f>
        <v>641</v>
      </c>
      <c r="C77" s="809">
        <v>68000</v>
      </c>
      <c r="D77" s="810">
        <f>44948000-1360000</f>
        <v>43588000</v>
      </c>
      <c r="E77" s="825">
        <v>545</v>
      </c>
      <c r="F77" s="825">
        <v>68000</v>
      </c>
      <c r="G77" s="810">
        <v>37060000</v>
      </c>
      <c r="H77" s="809">
        <f t="shared" si="4"/>
        <v>-6528000</v>
      </c>
      <c r="I77" s="917">
        <v>-6528</v>
      </c>
    </row>
    <row r="78" spans="1:9" ht="12">
      <c r="A78" s="923" t="s">
        <v>8</v>
      </c>
      <c r="B78" s="809">
        <v>1844</v>
      </c>
      <c r="C78" s="809">
        <v>1750</v>
      </c>
      <c r="D78" s="810">
        <v>2151333</v>
      </c>
      <c r="E78" s="825">
        <v>1847</v>
      </c>
      <c r="F78" s="825">
        <v>1750</v>
      </c>
      <c r="G78" s="810">
        <v>2154833</v>
      </c>
      <c r="H78" s="809">
        <f t="shared" si="4"/>
        <v>3500</v>
      </c>
      <c r="I78" s="917">
        <v>3</v>
      </c>
    </row>
    <row r="79" spans="1:9" ht="12">
      <c r="A79" s="923" t="s">
        <v>9</v>
      </c>
      <c r="B79" s="809">
        <f>1821-5</f>
        <v>1816</v>
      </c>
      <c r="C79" s="809">
        <v>1750</v>
      </c>
      <c r="D79" s="810">
        <f>1062250-2917</f>
        <v>1059333</v>
      </c>
      <c r="E79" s="825">
        <v>1858</v>
      </c>
      <c r="F79" s="825">
        <v>1750</v>
      </c>
      <c r="G79" s="810">
        <v>1083833</v>
      </c>
      <c r="H79" s="809">
        <f t="shared" si="4"/>
        <v>24500</v>
      </c>
      <c r="I79" s="917">
        <v>25</v>
      </c>
    </row>
    <row r="80" spans="1:9" ht="12">
      <c r="A80" s="923" t="s">
        <v>10</v>
      </c>
      <c r="B80" s="809">
        <f>832-26</f>
        <v>806</v>
      </c>
      <c r="C80" s="809">
        <v>12000</v>
      </c>
      <c r="D80" s="810">
        <f>9984000-312000</f>
        <v>9672000</v>
      </c>
      <c r="E80" s="825">
        <v>783</v>
      </c>
      <c r="F80" s="825">
        <v>12000</v>
      </c>
      <c r="G80" s="810">
        <v>9396000</v>
      </c>
      <c r="H80" s="809">
        <f t="shared" si="4"/>
        <v>-276000</v>
      </c>
      <c r="I80" s="917">
        <v>-276</v>
      </c>
    </row>
    <row r="81" spans="1:9" ht="12">
      <c r="A81" s="923" t="s">
        <v>11</v>
      </c>
      <c r="B81" s="809">
        <v>23</v>
      </c>
      <c r="C81" s="809">
        <v>1640</v>
      </c>
      <c r="D81" s="810">
        <v>37720</v>
      </c>
      <c r="E81" s="825">
        <v>23</v>
      </c>
      <c r="F81" s="825">
        <v>1640</v>
      </c>
      <c r="G81" s="810">
        <v>37720</v>
      </c>
      <c r="H81" s="809">
        <f t="shared" si="4"/>
        <v>0</v>
      </c>
      <c r="I81" s="917"/>
    </row>
    <row r="82" spans="1:9" ht="12">
      <c r="A82" s="916" t="s">
        <v>12</v>
      </c>
      <c r="B82" s="809">
        <v>4</v>
      </c>
      <c r="C82" s="809">
        <v>68000</v>
      </c>
      <c r="D82" s="810">
        <f>B82*C82</f>
        <v>272000</v>
      </c>
      <c r="E82" s="825">
        <v>10</v>
      </c>
      <c r="F82" s="825">
        <v>68000</v>
      </c>
      <c r="G82" s="822">
        <f>E82*F82</f>
        <v>680000</v>
      </c>
      <c r="H82" s="809">
        <f t="shared" si="4"/>
        <v>408000</v>
      </c>
      <c r="I82" s="917">
        <v>408</v>
      </c>
    </row>
    <row r="83" spans="1:9" s="39" customFormat="1" ht="13.5">
      <c r="A83" s="918" t="s">
        <v>13</v>
      </c>
      <c r="B83" s="821"/>
      <c r="C83" s="821"/>
      <c r="D83" s="819">
        <f>SUM(D69:D82)</f>
        <v>67745852</v>
      </c>
      <c r="E83" s="820"/>
      <c r="F83" s="820"/>
      <c r="G83" s="819">
        <f>SUM(G69:G82)</f>
        <v>61504852</v>
      </c>
      <c r="H83" s="828">
        <f t="shared" si="4"/>
        <v>-6241000</v>
      </c>
      <c r="I83" s="919">
        <f>SUM(I69:I82)</f>
        <v>-6241</v>
      </c>
    </row>
    <row r="84" spans="1:9" s="40" customFormat="1" ht="12">
      <c r="A84" s="920"/>
      <c r="B84" s="836"/>
      <c r="C84" s="836"/>
      <c r="D84" s="837"/>
      <c r="E84" s="838"/>
      <c r="F84" s="838"/>
      <c r="G84" s="837"/>
      <c r="H84" s="809">
        <f t="shared" si="4"/>
        <v>0</v>
      </c>
      <c r="I84" s="937"/>
    </row>
    <row r="85" spans="1:9" s="39" customFormat="1" ht="13.5">
      <c r="A85" s="918" t="s">
        <v>14</v>
      </c>
      <c r="B85" s="828"/>
      <c r="C85" s="828"/>
      <c r="D85" s="839">
        <f>D68+D83</f>
        <v>870398498</v>
      </c>
      <c r="E85" s="86"/>
      <c r="F85" s="86"/>
      <c r="G85" s="839">
        <f>G68+G83</f>
        <v>872447172.5</v>
      </c>
      <c r="H85" s="828">
        <f t="shared" si="4"/>
        <v>2048674.5</v>
      </c>
      <c r="I85" s="919">
        <f>I68+I83</f>
        <v>2048</v>
      </c>
    </row>
    <row r="86" spans="1:9" s="40" customFormat="1" ht="14.25" customHeight="1">
      <c r="A86" s="920"/>
      <c r="B86" s="836"/>
      <c r="C86" s="836"/>
      <c r="D86" s="837"/>
      <c r="E86" s="838"/>
      <c r="F86" s="838"/>
      <c r="G86" s="837"/>
      <c r="H86" s="809">
        <f t="shared" si="4"/>
        <v>0</v>
      </c>
      <c r="I86" s="937"/>
    </row>
    <row r="87" spans="1:9" s="843" customFormat="1" ht="13.5">
      <c r="A87" s="938" t="s">
        <v>15</v>
      </c>
      <c r="B87" s="840">
        <v>376345440</v>
      </c>
      <c r="C87" s="840"/>
      <c r="D87" s="841">
        <v>376345440</v>
      </c>
      <c r="E87" s="840">
        <v>376345440</v>
      </c>
      <c r="F87" s="842"/>
      <c r="G87" s="841">
        <v>376345440</v>
      </c>
      <c r="H87" s="809">
        <f t="shared" si="4"/>
        <v>0</v>
      </c>
      <c r="I87" s="939"/>
    </row>
    <row r="88" spans="1:9" s="845" customFormat="1" ht="12">
      <c r="A88" s="940"/>
      <c r="B88" s="844"/>
      <c r="C88" s="844"/>
      <c r="D88" s="837"/>
      <c r="E88" s="838"/>
      <c r="F88" s="838"/>
      <c r="G88" s="837"/>
      <c r="H88" s="809">
        <f t="shared" si="4"/>
        <v>0</v>
      </c>
      <c r="I88" s="941"/>
    </row>
    <row r="89" spans="1:22" s="847" customFormat="1" ht="14.25" thickBot="1">
      <c r="A89" s="942" t="s">
        <v>16</v>
      </c>
      <c r="B89" s="943"/>
      <c r="C89" s="943"/>
      <c r="D89" s="944">
        <f>D21+D34+D63+D83+D87</f>
        <v>1246743938</v>
      </c>
      <c r="E89" s="945"/>
      <c r="F89" s="945"/>
      <c r="G89" s="944">
        <f>G85+G87</f>
        <v>1248792612.5</v>
      </c>
      <c r="H89" s="928">
        <f>SUM(H85:H88)</f>
        <v>2048674.5</v>
      </c>
      <c r="I89" s="946">
        <f>SUM(I85:I88)</f>
        <v>2048</v>
      </c>
      <c r="J89" s="846"/>
      <c r="K89" s="846"/>
      <c r="L89" s="846"/>
      <c r="M89" s="846"/>
      <c r="N89" s="846"/>
      <c r="O89" s="846"/>
      <c r="P89" s="846"/>
      <c r="Q89" s="846"/>
      <c r="R89" s="846"/>
      <c r="S89" s="846"/>
      <c r="T89" s="846"/>
      <c r="U89" s="846"/>
      <c r="V89" s="846"/>
    </row>
    <row r="90" spans="1:9" s="8" customFormat="1" ht="12">
      <c r="A90" s="930"/>
      <c r="B90" s="848"/>
      <c r="C90" s="848"/>
      <c r="D90" s="849"/>
      <c r="E90" s="849"/>
      <c r="F90" s="849"/>
      <c r="G90" s="849"/>
      <c r="H90" s="848"/>
      <c r="I90" s="850"/>
    </row>
    <row r="91" ht="12.75">
      <c r="A91" s="851"/>
    </row>
  </sheetData>
  <mergeCells count="5">
    <mergeCell ref="A5:I5"/>
    <mergeCell ref="H7:I8"/>
    <mergeCell ref="A7:A8"/>
    <mergeCell ref="B7:D8"/>
    <mergeCell ref="E7:G8"/>
  </mergeCells>
  <printOptions horizontalCentered="1"/>
  <pageMargins left="0.1968503937007874" right="0.1968503937007874" top="0.16" bottom="0.16" header="0.16" footer="0.22"/>
  <pageSetup horizontalDpi="300" verticalDpi="300" orientation="landscape" paperSize="9" scale="75" r:id="rId1"/>
  <headerFooter alignWithMargins="0">
    <oddHeader>&amp;L18. melléklet a 14/2013. (V.2.) önkormányzati rendelethez
</oddHeader>
  </headerFooter>
  <rowBreaks count="1" manualBreakCount="1">
    <brk id="64" max="8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dimension ref="A5:Q38"/>
  <sheetViews>
    <sheetView workbookViewId="0" topLeftCell="A4">
      <selection activeCell="A10" sqref="A10:A13"/>
    </sheetView>
  </sheetViews>
  <sheetFormatPr defaultColWidth="9.00390625" defaultRowHeight="12.75"/>
  <cols>
    <col min="1" max="1" width="37.875" style="853" customWidth="1"/>
    <col min="2" max="2" width="11.875" style="856" customWidth="1"/>
    <col min="3" max="3" width="9.75390625" style="853" customWidth="1"/>
    <col min="4" max="4" width="12.75390625" style="853" customWidth="1"/>
    <col min="5" max="5" width="9.25390625" style="853" customWidth="1"/>
    <col min="6" max="6" width="9.00390625" style="857" customWidth="1"/>
    <col min="7" max="7" width="12.00390625" style="858" hidden="1" customWidth="1"/>
    <col min="8" max="8" width="12.75390625" style="857" hidden="1" customWidth="1"/>
    <col min="9" max="9" width="10.00390625" style="858" customWidth="1"/>
    <col min="10" max="10" width="9.125" style="857" customWidth="1"/>
    <col min="11" max="11" width="12.375" style="857" customWidth="1"/>
    <col min="12" max="12" width="10.625" style="857" customWidth="1"/>
    <col min="13" max="13" width="10.625" style="856" hidden="1" customWidth="1"/>
    <col min="14" max="14" width="10.625" style="853" hidden="1" customWidth="1"/>
    <col min="15" max="15" width="10.75390625" style="853" customWidth="1"/>
    <col min="16" max="16" width="10.125" style="862" customWidth="1"/>
    <col min="17" max="16384" width="9.125" style="853" customWidth="1"/>
  </cols>
  <sheetData>
    <row r="5" spans="1:16" ht="14.25">
      <c r="A5" s="1569" t="s">
        <v>970</v>
      </c>
      <c r="B5" s="1569"/>
      <c r="C5" s="1569"/>
      <c r="D5" s="1569"/>
      <c r="E5" s="1569"/>
      <c r="F5" s="1569"/>
      <c r="G5" s="1569"/>
      <c r="H5" s="1569"/>
      <c r="I5" s="1569"/>
      <c r="J5" s="1569"/>
      <c r="K5" s="1569"/>
      <c r="L5" s="1569"/>
      <c r="M5" s="1569"/>
      <c r="N5" s="1569"/>
      <c r="O5" s="1569"/>
      <c r="P5" s="1569"/>
    </row>
    <row r="6" spans="1:16" ht="14.25">
      <c r="A6" s="852"/>
      <c r="B6" s="852"/>
      <c r="C6" s="852"/>
      <c r="D6" s="852"/>
      <c r="E6" s="852"/>
      <c r="F6" s="854"/>
      <c r="G6" s="855"/>
      <c r="H6" s="854"/>
      <c r="I6" s="854"/>
      <c r="J6" s="854"/>
      <c r="K6" s="854"/>
      <c r="L6" s="854"/>
      <c r="M6" s="852"/>
      <c r="N6" s="852"/>
      <c r="O6" s="852"/>
      <c r="P6" s="852"/>
    </row>
    <row r="7" spans="1:16" ht="14.25">
      <c r="A7" s="852"/>
      <c r="B7" s="852"/>
      <c r="C7" s="852"/>
      <c r="D7" s="852"/>
      <c r="E7" s="852"/>
      <c r="F7" s="854"/>
      <c r="G7" s="855"/>
      <c r="H7" s="854"/>
      <c r="I7" s="854"/>
      <c r="J7" s="854"/>
      <c r="K7" s="854"/>
      <c r="L7" s="854"/>
      <c r="M7" s="852"/>
      <c r="N7" s="852"/>
      <c r="O7" s="852"/>
      <c r="P7" s="852"/>
    </row>
    <row r="9" spans="12:14" ht="13.5" thickBot="1">
      <c r="L9" s="859"/>
      <c r="M9" s="860"/>
      <c r="N9" s="861"/>
    </row>
    <row r="10" spans="1:16" ht="21.75" customHeight="1">
      <c r="A10" s="1584" t="s">
        <v>971</v>
      </c>
      <c r="B10" s="1587" t="s">
        <v>972</v>
      </c>
      <c r="C10" s="1609" t="s">
        <v>973</v>
      </c>
      <c r="D10" s="1609" t="s">
        <v>974</v>
      </c>
      <c r="E10" s="1590" t="s">
        <v>975</v>
      </c>
      <c r="F10" s="1591"/>
      <c r="G10" s="1615" t="s">
        <v>976</v>
      </c>
      <c r="H10" s="1594" t="s">
        <v>977</v>
      </c>
      <c r="I10" s="1574" t="s">
        <v>977</v>
      </c>
      <c r="J10" s="1612"/>
      <c r="K10" s="1570" t="s">
        <v>978</v>
      </c>
      <c r="L10" s="1571"/>
      <c r="M10" s="1574" t="s">
        <v>979</v>
      </c>
      <c r="N10" s="1575"/>
      <c r="O10" s="1598" t="s">
        <v>998</v>
      </c>
      <c r="P10" s="1600" t="s">
        <v>999</v>
      </c>
    </row>
    <row r="11" spans="1:16" ht="21.75" customHeight="1">
      <c r="A11" s="1585"/>
      <c r="B11" s="1588"/>
      <c r="C11" s="1610"/>
      <c r="D11" s="1610"/>
      <c r="E11" s="1592"/>
      <c r="F11" s="1593"/>
      <c r="G11" s="1616"/>
      <c r="H11" s="1595"/>
      <c r="I11" s="1613"/>
      <c r="J11" s="1614"/>
      <c r="K11" s="1572"/>
      <c r="L11" s="1573"/>
      <c r="M11" s="1576"/>
      <c r="N11" s="1577"/>
      <c r="O11" s="1599"/>
      <c r="P11" s="1601"/>
    </row>
    <row r="12" spans="1:16" ht="12" customHeight="1">
      <c r="A12" s="1585"/>
      <c r="B12" s="1588"/>
      <c r="C12" s="1610"/>
      <c r="D12" s="1610"/>
      <c r="E12" s="1602" t="s">
        <v>980</v>
      </c>
      <c r="F12" s="1604" t="s">
        <v>981</v>
      </c>
      <c r="G12" s="1606" t="s">
        <v>982</v>
      </c>
      <c r="H12" s="1604" t="s">
        <v>983</v>
      </c>
      <c r="I12" s="1606" t="s">
        <v>980</v>
      </c>
      <c r="J12" s="1604" t="s">
        <v>981</v>
      </c>
      <c r="K12" s="1606" t="s">
        <v>984</v>
      </c>
      <c r="L12" s="1578" t="s">
        <v>981</v>
      </c>
      <c r="M12" s="1606" t="s">
        <v>985</v>
      </c>
      <c r="N12" s="1604" t="s">
        <v>986</v>
      </c>
      <c r="O12" s="1580" t="s">
        <v>987</v>
      </c>
      <c r="P12" s="1582" t="s">
        <v>987</v>
      </c>
    </row>
    <row r="13" spans="1:16" ht="12" customHeight="1" thickBot="1">
      <c r="A13" s="1586"/>
      <c r="B13" s="1589"/>
      <c r="C13" s="1611"/>
      <c r="D13" s="1611"/>
      <c r="E13" s="1603"/>
      <c r="F13" s="1605"/>
      <c r="G13" s="1607"/>
      <c r="H13" s="1605"/>
      <c r="I13" s="1607"/>
      <c r="J13" s="1605"/>
      <c r="K13" s="1607"/>
      <c r="L13" s="1579"/>
      <c r="M13" s="1607"/>
      <c r="N13" s="1608"/>
      <c r="O13" s="1581"/>
      <c r="P13" s="1583"/>
    </row>
    <row r="14" spans="1:17" ht="12.75">
      <c r="A14" s="1211" t="s">
        <v>766</v>
      </c>
      <c r="B14" s="863">
        <v>123.9</v>
      </c>
      <c r="C14" s="864">
        <v>64923</v>
      </c>
      <c r="D14" s="864">
        <f aca="true" t="shared" si="0" ref="D14:D21">C14/B14</f>
        <v>523.9951573849879</v>
      </c>
      <c r="E14" s="865">
        <v>10424</v>
      </c>
      <c r="F14" s="866">
        <f aca="true" t="shared" si="1" ref="F14:F21">E14/M14</f>
        <v>0.15995335205389066</v>
      </c>
      <c r="G14" s="867">
        <v>54745</v>
      </c>
      <c r="H14" s="867">
        <f>23500000+1950860</f>
        <v>25450860</v>
      </c>
      <c r="I14" s="867">
        <v>25451</v>
      </c>
      <c r="J14" s="866">
        <f aca="true" t="shared" si="2" ref="J14:J21">I14/M14</f>
        <v>0.39053844619374245</v>
      </c>
      <c r="K14" s="910">
        <f aca="true" t="shared" si="3" ref="K14:K21">G14-I14</f>
        <v>29294</v>
      </c>
      <c r="L14" s="868">
        <f aca="true" t="shared" si="4" ref="L14:L21">K14/M14</f>
        <v>0.44950820175236694</v>
      </c>
      <c r="M14" s="865">
        <f aca="true" t="shared" si="5" ref="M14:M20">E14+G14</f>
        <v>65169</v>
      </c>
      <c r="N14" s="869">
        <v>100</v>
      </c>
      <c r="O14" s="911">
        <f aca="true" t="shared" si="6" ref="O14:O21">I14/B14</f>
        <v>205.41565778853914</v>
      </c>
      <c r="P14" s="1212">
        <f aca="true" t="shared" si="7" ref="P14:P21">K14/B14</f>
        <v>236.4326069410815</v>
      </c>
      <c r="Q14" s="870"/>
    </row>
    <row r="15" spans="1:17" ht="12.75">
      <c r="A15" s="1213" t="s">
        <v>751</v>
      </c>
      <c r="B15" s="871">
        <v>52.6</v>
      </c>
      <c r="C15" s="872">
        <v>24584</v>
      </c>
      <c r="D15" s="864">
        <f t="shared" si="0"/>
        <v>467.3764258555133</v>
      </c>
      <c r="E15" s="873">
        <v>2205</v>
      </c>
      <c r="F15" s="866">
        <f t="shared" si="1"/>
        <v>0.08956860833536437</v>
      </c>
      <c r="G15" s="867">
        <v>22413</v>
      </c>
      <c r="H15" s="874">
        <f>9948333+1552440</f>
        <v>11500773</v>
      </c>
      <c r="I15" s="867">
        <v>11501</v>
      </c>
      <c r="J15" s="866">
        <f t="shared" si="2"/>
        <v>0.4671784872857259</v>
      </c>
      <c r="K15" s="874">
        <f t="shared" si="3"/>
        <v>10912</v>
      </c>
      <c r="L15" s="868">
        <f t="shared" si="4"/>
        <v>0.44325290437890974</v>
      </c>
      <c r="M15" s="865">
        <f t="shared" si="5"/>
        <v>24618</v>
      </c>
      <c r="N15" s="869">
        <v>100</v>
      </c>
      <c r="O15" s="875">
        <f t="shared" si="6"/>
        <v>218.65019011406844</v>
      </c>
      <c r="P15" s="1214">
        <f t="shared" si="7"/>
        <v>207.45247148288973</v>
      </c>
      <c r="Q15" s="870"/>
    </row>
    <row r="16" spans="1:17" ht="12.75">
      <c r="A16" s="1213" t="s">
        <v>767</v>
      </c>
      <c r="B16" s="871">
        <v>99.2</v>
      </c>
      <c r="C16" s="872">
        <v>52601</v>
      </c>
      <c r="D16" s="864">
        <f t="shared" si="0"/>
        <v>530.2520161290322</v>
      </c>
      <c r="E16" s="873">
        <v>7834</v>
      </c>
      <c r="F16" s="866">
        <f t="shared" si="1"/>
        <v>0.14644633042958088</v>
      </c>
      <c r="G16" s="867">
        <v>45660</v>
      </c>
      <c r="H16" s="874">
        <f>18878333+1683540</f>
        <v>20561873</v>
      </c>
      <c r="I16" s="867">
        <v>20562</v>
      </c>
      <c r="J16" s="866">
        <f t="shared" si="2"/>
        <v>0.3843795565857853</v>
      </c>
      <c r="K16" s="874">
        <f t="shared" si="3"/>
        <v>25098</v>
      </c>
      <c r="L16" s="868">
        <f t="shared" si="4"/>
        <v>0.4691741129846338</v>
      </c>
      <c r="M16" s="865">
        <f t="shared" si="5"/>
        <v>53494</v>
      </c>
      <c r="N16" s="869">
        <v>100</v>
      </c>
      <c r="O16" s="875">
        <f t="shared" si="6"/>
        <v>207.27822580645162</v>
      </c>
      <c r="P16" s="1214">
        <f t="shared" si="7"/>
        <v>253.0040322580645</v>
      </c>
      <c r="Q16" s="870"/>
    </row>
    <row r="17" spans="1:17" ht="12.75">
      <c r="A17" s="1213" t="s">
        <v>988</v>
      </c>
      <c r="B17" s="871">
        <v>124.9</v>
      </c>
      <c r="C17" s="872">
        <v>72611</v>
      </c>
      <c r="D17" s="864">
        <f t="shared" si="0"/>
        <v>581.3530824659728</v>
      </c>
      <c r="E17" s="873">
        <v>14178</v>
      </c>
      <c r="F17" s="866">
        <f t="shared" si="1"/>
        <v>0.18788015318765489</v>
      </c>
      <c r="G17" s="867">
        <v>61285</v>
      </c>
      <c r="H17" s="874">
        <f>23787267+306010</f>
        <v>24093277</v>
      </c>
      <c r="I17" s="867">
        <v>24093</v>
      </c>
      <c r="J17" s="866">
        <f t="shared" si="2"/>
        <v>0.3192690457575236</v>
      </c>
      <c r="K17" s="874">
        <f t="shared" si="3"/>
        <v>37192</v>
      </c>
      <c r="L17" s="868">
        <f t="shared" si="4"/>
        <v>0.49285080105482154</v>
      </c>
      <c r="M17" s="865">
        <f t="shared" si="5"/>
        <v>75463</v>
      </c>
      <c r="N17" s="869">
        <v>100</v>
      </c>
      <c r="O17" s="875">
        <f t="shared" si="6"/>
        <v>192.89831865492394</v>
      </c>
      <c r="P17" s="1214">
        <f t="shared" si="7"/>
        <v>297.77421937550037</v>
      </c>
      <c r="Q17" s="870"/>
    </row>
    <row r="18" spans="1:17" ht="12.75">
      <c r="A18" s="1213" t="s">
        <v>794</v>
      </c>
      <c r="B18" s="871">
        <v>73.9</v>
      </c>
      <c r="C18" s="872">
        <v>57979</v>
      </c>
      <c r="D18" s="864">
        <f t="shared" si="0"/>
        <v>784.5602165087956</v>
      </c>
      <c r="E18" s="873">
        <v>18239</v>
      </c>
      <c r="F18" s="866">
        <f t="shared" si="1"/>
        <v>0.3125203474923322</v>
      </c>
      <c r="G18" s="867">
        <v>40122</v>
      </c>
      <c r="H18" s="874">
        <f>14100000+939080</f>
        <v>15039080</v>
      </c>
      <c r="I18" s="867">
        <v>15039</v>
      </c>
      <c r="J18" s="866">
        <f t="shared" si="2"/>
        <v>0.2576892102602766</v>
      </c>
      <c r="K18" s="874">
        <f t="shared" si="3"/>
        <v>25083</v>
      </c>
      <c r="L18" s="868">
        <f t="shared" si="4"/>
        <v>0.4297904422473912</v>
      </c>
      <c r="M18" s="865">
        <f t="shared" si="5"/>
        <v>58361</v>
      </c>
      <c r="N18" s="869">
        <v>100</v>
      </c>
      <c r="O18" s="875">
        <f t="shared" si="6"/>
        <v>203.50473612990527</v>
      </c>
      <c r="P18" s="1214">
        <f t="shared" si="7"/>
        <v>339.4181326116373</v>
      </c>
      <c r="Q18" s="870"/>
    </row>
    <row r="19" spans="1:17" ht="12.75">
      <c r="A19" s="1213" t="s">
        <v>729</v>
      </c>
      <c r="B19" s="871">
        <v>111.3</v>
      </c>
      <c r="C19" s="872">
        <v>48631</v>
      </c>
      <c r="D19" s="864">
        <f t="shared" si="0"/>
        <v>436.9362084456424</v>
      </c>
      <c r="E19" s="873">
        <v>6546</v>
      </c>
      <c r="F19" s="866">
        <f t="shared" si="1"/>
        <v>0.13351554213918576</v>
      </c>
      <c r="G19" s="867">
        <v>42482</v>
      </c>
      <c r="H19" s="874">
        <f>21347800+1977020</f>
        <v>23324820</v>
      </c>
      <c r="I19" s="867">
        <v>23325</v>
      </c>
      <c r="J19" s="866">
        <f t="shared" si="2"/>
        <v>0.47574855184792364</v>
      </c>
      <c r="K19" s="874">
        <f t="shared" si="3"/>
        <v>19157</v>
      </c>
      <c r="L19" s="868">
        <f t="shared" si="4"/>
        <v>0.3907359060128906</v>
      </c>
      <c r="M19" s="865">
        <f t="shared" si="5"/>
        <v>49028</v>
      </c>
      <c r="N19" s="869">
        <v>100</v>
      </c>
      <c r="O19" s="875">
        <f t="shared" si="6"/>
        <v>209.56873315363882</v>
      </c>
      <c r="P19" s="1214">
        <f t="shared" si="7"/>
        <v>172.1203953279425</v>
      </c>
      <c r="Q19" s="870"/>
    </row>
    <row r="20" spans="1:17" ht="12.75">
      <c r="A20" s="1213" t="s">
        <v>795</v>
      </c>
      <c r="B20" s="871">
        <v>25.3</v>
      </c>
      <c r="C20" s="872">
        <v>12942</v>
      </c>
      <c r="D20" s="864">
        <f t="shared" si="0"/>
        <v>511.54150197628456</v>
      </c>
      <c r="E20" s="873">
        <v>1637</v>
      </c>
      <c r="F20" s="866">
        <f t="shared" si="1"/>
        <v>0.12511464383980433</v>
      </c>
      <c r="G20" s="867">
        <v>11447</v>
      </c>
      <c r="H20" s="874">
        <f>4778333+306000</f>
        <v>5084333</v>
      </c>
      <c r="I20" s="867">
        <v>5084</v>
      </c>
      <c r="J20" s="866">
        <f t="shared" si="2"/>
        <v>0.38856618771018037</v>
      </c>
      <c r="K20" s="874">
        <f t="shared" si="3"/>
        <v>6363</v>
      </c>
      <c r="L20" s="868">
        <f t="shared" si="4"/>
        <v>0.48631916845001527</v>
      </c>
      <c r="M20" s="865">
        <f t="shared" si="5"/>
        <v>13084</v>
      </c>
      <c r="N20" s="869">
        <v>100</v>
      </c>
      <c r="O20" s="876">
        <f t="shared" si="6"/>
        <v>200.9486166007905</v>
      </c>
      <c r="P20" s="1214">
        <f t="shared" si="7"/>
        <v>251.50197628458497</v>
      </c>
      <c r="Q20" s="870"/>
    </row>
    <row r="21" spans="1:17" ht="12.75">
      <c r="A21" s="1215" t="s">
        <v>989</v>
      </c>
      <c r="B21" s="877">
        <f>SUM(B14:B20)</f>
        <v>611.0999999999999</v>
      </c>
      <c r="C21" s="878">
        <f>SUM(C14:C20)</f>
        <v>334271</v>
      </c>
      <c r="D21" s="879">
        <f t="shared" si="0"/>
        <v>546.9988545246277</v>
      </c>
      <c r="E21" s="880">
        <f>SUM(E14:E20)</f>
        <v>61063</v>
      </c>
      <c r="F21" s="866">
        <f t="shared" si="1"/>
        <v>0.18001161498391885</v>
      </c>
      <c r="G21" s="881">
        <f>SUM(G14:G20)</f>
        <v>278154</v>
      </c>
      <c r="H21" s="882">
        <f>SUM(H14:H20)</f>
        <v>125055016</v>
      </c>
      <c r="I21" s="881">
        <f>SUM(I14:I20)</f>
        <v>125055</v>
      </c>
      <c r="J21" s="866">
        <f t="shared" si="2"/>
        <v>0.36865782080497145</v>
      </c>
      <c r="K21" s="883">
        <f t="shared" si="3"/>
        <v>153099</v>
      </c>
      <c r="L21" s="868">
        <f t="shared" si="4"/>
        <v>0.4513305642111097</v>
      </c>
      <c r="M21" s="884">
        <f>SUM(M14:M20)</f>
        <v>339217</v>
      </c>
      <c r="N21" s="885">
        <v>100</v>
      </c>
      <c r="O21" s="886">
        <f t="shared" si="6"/>
        <v>204.63917525773198</v>
      </c>
      <c r="P21" s="1216">
        <f t="shared" si="7"/>
        <v>250.53019145802654</v>
      </c>
      <c r="Q21" s="870"/>
    </row>
    <row r="22" spans="1:17" ht="12.75">
      <c r="A22" s="1213"/>
      <c r="B22" s="871"/>
      <c r="C22" s="887"/>
      <c r="D22" s="888"/>
      <c r="E22" s="873"/>
      <c r="F22" s="889"/>
      <c r="G22" s="867"/>
      <c r="H22" s="890"/>
      <c r="I22" s="867"/>
      <c r="J22" s="889"/>
      <c r="K22" s="874"/>
      <c r="L22" s="869"/>
      <c r="M22" s="865"/>
      <c r="N22" s="869"/>
      <c r="O22" s="875"/>
      <c r="P22" s="1214"/>
      <c r="Q22" s="870"/>
    </row>
    <row r="23" spans="1:17" ht="12.75">
      <c r="A23" s="1215" t="s">
        <v>1195</v>
      </c>
      <c r="B23" s="877">
        <v>59.5</v>
      </c>
      <c r="C23" s="878">
        <v>81446</v>
      </c>
      <c r="D23" s="878">
        <f>C23/B23</f>
        <v>1368.8403361344538</v>
      </c>
      <c r="E23" s="880">
        <v>15300</v>
      </c>
      <c r="F23" s="866">
        <f>E23/M23</f>
        <v>0.18290058815091093</v>
      </c>
      <c r="G23" s="881">
        <v>68352</v>
      </c>
      <c r="H23" s="883">
        <f>29408832+672760</f>
        <v>30081592</v>
      </c>
      <c r="I23" s="881">
        <v>30082</v>
      </c>
      <c r="J23" s="866">
        <f>I23/M23</f>
        <v>0.3596088557356668</v>
      </c>
      <c r="K23" s="883">
        <f>G23-I23</f>
        <v>38270</v>
      </c>
      <c r="L23" s="868">
        <f>K23/M23</f>
        <v>0.45749055611342226</v>
      </c>
      <c r="M23" s="865">
        <f>E23+G23</f>
        <v>83652</v>
      </c>
      <c r="N23" s="869">
        <v>100</v>
      </c>
      <c r="O23" s="876">
        <f>I23/B23</f>
        <v>505.5798319327731</v>
      </c>
      <c r="P23" s="1216">
        <f>K23/B23</f>
        <v>643.1932773109244</v>
      </c>
      <c r="Q23" s="870"/>
    </row>
    <row r="24" spans="1:17" ht="12.75">
      <c r="A24" s="1213"/>
      <c r="B24" s="871"/>
      <c r="C24" s="887"/>
      <c r="D24" s="888"/>
      <c r="E24" s="873"/>
      <c r="F24" s="889"/>
      <c r="G24" s="867"/>
      <c r="H24" s="890"/>
      <c r="I24" s="867"/>
      <c r="J24" s="889"/>
      <c r="K24" s="874"/>
      <c r="L24" s="869"/>
      <c r="M24" s="865"/>
      <c r="N24" s="869"/>
      <c r="O24" s="875"/>
      <c r="P24" s="1214"/>
      <c r="Q24" s="870"/>
    </row>
    <row r="25" spans="1:17" ht="12.75">
      <c r="A25" s="1213" t="s">
        <v>990</v>
      </c>
      <c r="B25" s="871">
        <v>638.9</v>
      </c>
      <c r="C25" s="872">
        <v>341976</v>
      </c>
      <c r="D25" s="872">
        <f aca="true" t="shared" si="8" ref="D25:D31">C25/B25</f>
        <v>535.2574737830647</v>
      </c>
      <c r="E25" s="873">
        <v>59282</v>
      </c>
      <c r="F25" s="866">
        <f aca="true" t="shared" si="9" ref="F25:F31">E25/M25</f>
        <v>0.17131000921829442</v>
      </c>
      <c r="G25" s="867">
        <v>286769</v>
      </c>
      <c r="H25" s="874">
        <f>108680335+18102817</f>
        <v>126783152</v>
      </c>
      <c r="I25" s="867">
        <v>126783</v>
      </c>
      <c r="J25" s="866">
        <f aca="true" t="shared" si="10" ref="J25:J31">I25/M25</f>
        <v>0.3663708528511693</v>
      </c>
      <c r="K25" s="874">
        <f aca="true" t="shared" si="11" ref="K25:K31">G25-I25</f>
        <v>159986</v>
      </c>
      <c r="L25" s="868">
        <f aca="true" t="shared" si="12" ref="L25:L31">K25/M25</f>
        <v>0.46231913793053625</v>
      </c>
      <c r="M25" s="865">
        <f aca="true" t="shared" si="13" ref="M25:M30">E25+G25</f>
        <v>346051</v>
      </c>
      <c r="N25" s="869">
        <v>100</v>
      </c>
      <c r="O25" s="876">
        <f aca="true" t="shared" si="14" ref="O25:O31">I25/B25</f>
        <v>198.4395053999061</v>
      </c>
      <c r="P25" s="1214">
        <f aca="true" t="shared" si="15" ref="P25:P31">K25/B25</f>
        <v>250.4085146345281</v>
      </c>
      <c r="Q25" s="870"/>
    </row>
    <row r="26" spans="1:17" ht="12.75">
      <c r="A26" s="1213" t="s">
        <v>991</v>
      </c>
      <c r="B26" s="871">
        <v>192.2</v>
      </c>
      <c r="C26" s="872">
        <v>95060</v>
      </c>
      <c r="D26" s="872">
        <f t="shared" si="8"/>
        <v>494.58896982310097</v>
      </c>
      <c r="E26" s="873">
        <v>6462</v>
      </c>
      <c r="F26" s="866">
        <f t="shared" si="9"/>
        <v>0.06794595447137375</v>
      </c>
      <c r="G26" s="867">
        <v>88643</v>
      </c>
      <c r="H26" s="874">
        <f>32691333+7522914</f>
        <v>40214247</v>
      </c>
      <c r="I26" s="867">
        <v>40214</v>
      </c>
      <c r="J26" s="866">
        <f t="shared" si="10"/>
        <v>0.4228379159875927</v>
      </c>
      <c r="K26" s="874">
        <f t="shared" si="11"/>
        <v>48429</v>
      </c>
      <c r="L26" s="868">
        <f t="shared" si="12"/>
        <v>0.5092161295410336</v>
      </c>
      <c r="M26" s="865">
        <f t="shared" si="13"/>
        <v>95105</v>
      </c>
      <c r="N26" s="869">
        <v>100</v>
      </c>
      <c r="O26" s="876">
        <f t="shared" si="14"/>
        <v>209.22996878251823</v>
      </c>
      <c r="P26" s="1214">
        <f t="shared" si="15"/>
        <v>251.9719042663892</v>
      </c>
      <c r="Q26" s="870"/>
    </row>
    <row r="27" spans="1:17" ht="12.75">
      <c r="A27" s="1213" t="s">
        <v>992</v>
      </c>
      <c r="B27" s="871">
        <v>730.9</v>
      </c>
      <c r="C27" s="872">
        <v>31341</v>
      </c>
      <c r="D27" s="872">
        <f t="shared" si="8"/>
        <v>42.88001094540977</v>
      </c>
      <c r="E27" s="873">
        <v>5090</v>
      </c>
      <c r="F27" s="866">
        <f t="shared" si="9"/>
        <v>0.016522326239661374</v>
      </c>
      <c r="G27" s="867">
        <v>302978</v>
      </c>
      <c r="H27" s="874">
        <f>125650534+17092390</f>
        <v>142742924</v>
      </c>
      <c r="I27" s="867">
        <v>142743</v>
      </c>
      <c r="J27" s="866">
        <f t="shared" si="10"/>
        <v>0.4633490008699378</v>
      </c>
      <c r="K27" s="874">
        <f t="shared" si="11"/>
        <v>160235</v>
      </c>
      <c r="L27" s="868">
        <f t="shared" si="12"/>
        <v>0.5201286728904008</v>
      </c>
      <c r="M27" s="865">
        <f t="shared" si="13"/>
        <v>308068</v>
      </c>
      <c r="N27" s="869">
        <v>100</v>
      </c>
      <c r="O27" s="876">
        <f t="shared" si="14"/>
        <v>195.29757832808866</v>
      </c>
      <c r="P27" s="1214">
        <f t="shared" si="15"/>
        <v>219.22971678752225</v>
      </c>
      <c r="Q27" s="870"/>
    </row>
    <row r="28" spans="1:17" ht="12.75">
      <c r="A28" s="1213" t="s">
        <v>993</v>
      </c>
      <c r="B28" s="871">
        <v>196.6</v>
      </c>
      <c r="C28" s="872">
        <v>93035</v>
      </c>
      <c r="D28" s="872">
        <f t="shared" si="8"/>
        <v>473.21973550356057</v>
      </c>
      <c r="E28" s="873">
        <v>18179</v>
      </c>
      <c r="F28" s="866">
        <f t="shared" si="9"/>
        <v>0.1883268240632349</v>
      </c>
      <c r="G28" s="867">
        <v>78350</v>
      </c>
      <c r="H28" s="874">
        <f>32143133+7113793</f>
        <v>39256926</v>
      </c>
      <c r="I28" s="867">
        <v>39257</v>
      </c>
      <c r="J28" s="866">
        <f t="shared" si="10"/>
        <v>0.406686073615183</v>
      </c>
      <c r="K28" s="874">
        <f t="shared" si="11"/>
        <v>39093</v>
      </c>
      <c r="L28" s="868">
        <f t="shared" si="12"/>
        <v>0.40498710232158214</v>
      </c>
      <c r="M28" s="865">
        <f t="shared" si="13"/>
        <v>96529</v>
      </c>
      <c r="N28" s="869">
        <v>100</v>
      </c>
      <c r="O28" s="876">
        <f t="shared" si="14"/>
        <v>199.6795523906409</v>
      </c>
      <c r="P28" s="1214">
        <f t="shared" si="15"/>
        <v>198.84537131230925</v>
      </c>
      <c r="Q28" s="870"/>
    </row>
    <row r="29" spans="1:17" ht="12.75">
      <c r="A29" s="1213" t="s">
        <v>994</v>
      </c>
      <c r="B29" s="871">
        <v>92.9</v>
      </c>
      <c r="C29" s="872">
        <v>53141</v>
      </c>
      <c r="D29" s="872">
        <f t="shared" si="8"/>
        <v>572.0236813778256</v>
      </c>
      <c r="E29" s="873">
        <v>3375</v>
      </c>
      <c r="F29" s="866">
        <f t="shared" si="9"/>
        <v>0.06251736593498194</v>
      </c>
      <c r="G29" s="867">
        <v>50610</v>
      </c>
      <c r="H29" s="874">
        <f>18797002+2163900</f>
        <v>20960902</v>
      </c>
      <c r="I29" s="867">
        <v>20961</v>
      </c>
      <c r="J29" s="866">
        <f t="shared" si="10"/>
        <v>0.3882745207001945</v>
      </c>
      <c r="K29" s="874">
        <f t="shared" si="11"/>
        <v>29649</v>
      </c>
      <c r="L29" s="868">
        <f t="shared" si="12"/>
        <v>0.5492081133648236</v>
      </c>
      <c r="M29" s="865">
        <f t="shared" si="13"/>
        <v>53985</v>
      </c>
      <c r="N29" s="869">
        <v>100</v>
      </c>
      <c r="O29" s="876">
        <f t="shared" si="14"/>
        <v>225.62970936490848</v>
      </c>
      <c r="P29" s="1214">
        <f t="shared" si="15"/>
        <v>319.1496232508073</v>
      </c>
      <c r="Q29" s="870"/>
    </row>
    <row r="30" spans="1:17" ht="12.75">
      <c r="A30" s="1213" t="s">
        <v>995</v>
      </c>
      <c r="B30" s="871">
        <v>423.5</v>
      </c>
      <c r="C30" s="872">
        <v>78875</v>
      </c>
      <c r="D30" s="872">
        <f t="shared" si="8"/>
        <v>186.24557260920898</v>
      </c>
      <c r="E30" s="873">
        <v>8424</v>
      </c>
      <c r="F30" s="866">
        <f t="shared" si="9"/>
        <v>0.10545818728092138</v>
      </c>
      <c r="G30" s="867">
        <v>71456</v>
      </c>
      <c r="H30" s="874">
        <f>41124999+143430</f>
        <v>41268429</v>
      </c>
      <c r="I30" s="867">
        <v>41268</v>
      </c>
      <c r="J30" s="866">
        <f t="shared" si="10"/>
        <v>0.5166249374061092</v>
      </c>
      <c r="K30" s="874">
        <f t="shared" si="11"/>
        <v>30188</v>
      </c>
      <c r="L30" s="868">
        <f t="shared" si="12"/>
        <v>0.37791687531296947</v>
      </c>
      <c r="M30" s="865">
        <f t="shared" si="13"/>
        <v>79880</v>
      </c>
      <c r="N30" s="869">
        <v>100</v>
      </c>
      <c r="O30" s="876">
        <f t="shared" si="14"/>
        <v>97.44510035419127</v>
      </c>
      <c r="P30" s="1214">
        <f t="shared" si="15"/>
        <v>71.28217237308147</v>
      </c>
      <c r="Q30" s="870"/>
    </row>
    <row r="31" spans="1:17" ht="12.75">
      <c r="A31" s="1215" t="s">
        <v>996</v>
      </c>
      <c r="B31" s="877">
        <f>SUM(B25:B30)</f>
        <v>2275</v>
      </c>
      <c r="C31" s="878">
        <f>SUM(C25:C30)</f>
        <v>693428</v>
      </c>
      <c r="D31" s="891">
        <f t="shared" si="8"/>
        <v>304.8035164835165</v>
      </c>
      <c r="E31" s="880">
        <f>SUM(E25:E30)</f>
        <v>100812</v>
      </c>
      <c r="F31" s="866">
        <f t="shared" si="9"/>
        <v>0.10290950145873187</v>
      </c>
      <c r="G31" s="881">
        <f>SUM(G25:G30)</f>
        <v>878806</v>
      </c>
      <c r="H31" s="883">
        <f>SUM(H25:H30)</f>
        <v>411226580</v>
      </c>
      <c r="I31" s="881">
        <f>SUM(I25:I30)</f>
        <v>411226</v>
      </c>
      <c r="J31" s="866">
        <f t="shared" si="10"/>
        <v>0.4197819966558393</v>
      </c>
      <c r="K31" s="883">
        <f t="shared" si="11"/>
        <v>467580</v>
      </c>
      <c r="L31" s="868">
        <f t="shared" si="12"/>
        <v>0.47730850188542884</v>
      </c>
      <c r="M31" s="884">
        <f>SUM(M25:M30)</f>
        <v>979618</v>
      </c>
      <c r="N31" s="885">
        <v>100</v>
      </c>
      <c r="O31" s="886">
        <f t="shared" si="14"/>
        <v>180.7586813186813</v>
      </c>
      <c r="P31" s="1216">
        <f t="shared" si="15"/>
        <v>205.52967032967032</v>
      </c>
      <c r="Q31" s="870"/>
    </row>
    <row r="32" spans="1:17" ht="12.75">
      <c r="A32" s="1215"/>
      <c r="B32" s="878"/>
      <c r="C32" s="878"/>
      <c r="D32" s="872"/>
      <c r="E32" s="873"/>
      <c r="F32" s="889"/>
      <c r="G32" s="867"/>
      <c r="H32" s="882"/>
      <c r="I32" s="867"/>
      <c r="J32" s="889"/>
      <c r="K32" s="874"/>
      <c r="L32" s="869"/>
      <c r="M32" s="865"/>
      <c r="N32" s="869"/>
      <c r="O32" s="876"/>
      <c r="P32" s="1214"/>
      <c r="Q32" s="870"/>
    </row>
    <row r="33" spans="1:17" ht="12.75">
      <c r="A33" s="1215" t="s">
        <v>997</v>
      </c>
      <c r="B33" s="877">
        <v>270.8</v>
      </c>
      <c r="C33" s="878">
        <v>163612</v>
      </c>
      <c r="D33" s="891">
        <f>C33/B33</f>
        <v>604.1802067946824</v>
      </c>
      <c r="E33" s="880">
        <v>42683</v>
      </c>
      <c r="F33" s="866">
        <f>E33/M33</f>
        <v>0.24547953714141113</v>
      </c>
      <c r="G33" s="881">
        <v>131193</v>
      </c>
      <c r="H33" s="883">
        <f>80226733+16400</f>
        <v>80243133</v>
      </c>
      <c r="I33" s="881">
        <v>80243</v>
      </c>
      <c r="J33" s="866">
        <f>I33/M33</f>
        <v>0.46149554855184155</v>
      </c>
      <c r="K33" s="883">
        <f>G33-I33</f>
        <v>50950</v>
      </c>
      <c r="L33" s="868">
        <f>K33/M33</f>
        <v>0.2930249143067473</v>
      </c>
      <c r="M33" s="865">
        <f>E33+G33</f>
        <v>173876</v>
      </c>
      <c r="N33" s="885">
        <v>100</v>
      </c>
      <c r="O33" s="886">
        <f>I33/B33</f>
        <v>296.3183161004431</v>
      </c>
      <c r="P33" s="1216">
        <f>K33/B33</f>
        <v>188.14623338257016</v>
      </c>
      <c r="Q33" s="870"/>
    </row>
    <row r="34" spans="1:17" ht="12.75">
      <c r="A34" s="1217"/>
      <c r="B34" s="892"/>
      <c r="C34" s="893"/>
      <c r="D34" s="888"/>
      <c r="E34" s="894"/>
      <c r="F34" s="895"/>
      <c r="G34" s="896"/>
      <c r="H34" s="897"/>
      <c r="I34" s="898"/>
      <c r="J34" s="899"/>
      <c r="K34" s="874"/>
      <c r="L34" s="900"/>
      <c r="M34" s="901"/>
      <c r="N34" s="900"/>
      <c r="O34" s="876"/>
      <c r="P34" s="1214"/>
      <c r="Q34" s="870"/>
    </row>
    <row r="35" spans="1:17" ht="14.25" thickBot="1">
      <c r="A35" s="1218" t="s">
        <v>1095</v>
      </c>
      <c r="B35" s="1219"/>
      <c r="C35" s="1219">
        <f>C21+C23+C31+C33</f>
        <v>1272757</v>
      </c>
      <c r="D35" s="1220"/>
      <c r="E35" s="1221">
        <f>E21+E23+E31+E33</f>
        <v>219858</v>
      </c>
      <c r="F35" s="1222"/>
      <c r="G35" s="1223">
        <f>G21+G23+G31+G33</f>
        <v>1356505</v>
      </c>
      <c r="H35" s="1224">
        <f>H21+H23+H31+H33</f>
        <v>646606321</v>
      </c>
      <c r="I35" s="1223">
        <f>I21+I23+I31+I33</f>
        <v>646606</v>
      </c>
      <c r="J35" s="1222"/>
      <c r="K35" s="1225">
        <f>G35-I35</f>
        <v>709899</v>
      </c>
      <c r="L35" s="1222"/>
      <c r="M35" s="1226">
        <f>M21+M23+M31+M33</f>
        <v>1576363</v>
      </c>
      <c r="N35" s="1227"/>
      <c r="O35" s="1228"/>
      <c r="P35" s="1229"/>
      <c r="Q35" s="870"/>
    </row>
    <row r="36" spans="13:16" ht="12.75">
      <c r="M36" s="858"/>
      <c r="N36" s="857"/>
      <c r="P36" s="902"/>
    </row>
    <row r="37" spans="1:16" ht="15">
      <c r="A37" s="903"/>
      <c r="B37" s="904"/>
      <c r="C37" s="905"/>
      <c r="D37" s="905"/>
      <c r="E37" s="905"/>
      <c r="F37" s="906"/>
      <c r="G37" s="907"/>
      <c r="H37" s="906"/>
      <c r="I37" s="907"/>
      <c r="J37" s="906"/>
      <c r="K37" s="906"/>
      <c r="L37" s="906"/>
      <c r="M37" s="908"/>
      <c r="N37" s="905"/>
      <c r="O37" s="905"/>
      <c r="P37" s="909"/>
    </row>
    <row r="38" spans="1:16" ht="15">
      <c r="A38" s="1596"/>
      <c r="B38" s="1597"/>
      <c r="C38" s="1597"/>
      <c r="D38" s="1597"/>
      <c r="E38" s="1597"/>
      <c r="F38" s="1597"/>
      <c r="G38" s="1597"/>
      <c r="H38" s="1597"/>
      <c r="I38" s="1597"/>
      <c r="J38" s="1597"/>
      <c r="K38" s="1597"/>
      <c r="L38" s="1597"/>
      <c r="M38" s="1597"/>
      <c r="N38" s="1597"/>
      <c r="O38" s="1597"/>
      <c r="P38" s="1597"/>
    </row>
  </sheetData>
  <mergeCells count="26">
    <mergeCell ref="C10:C13"/>
    <mergeCell ref="D10:D13"/>
    <mergeCell ref="I10:J11"/>
    <mergeCell ref="J12:J13"/>
    <mergeCell ref="G10:G11"/>
    <mergeCell ref="G12:G13"/>
    <mergeCell ref="A38:P38"/>
    <mergeCell ref="O10:O11"/>
    <mergeCell ref="P10:P11"/>
    <mergeCell ref="E12:E13"/>
    <mergeCell ref="F12:F13"/>
    <mergeCell ref="H12:H13"/>
    <mergeCell ref="I12:I13"/>
    <mergeCell ref="K12:K13"/>
    <mergeCell ref="M12:M13"/>
    <mergeCell ref="N12:N13"/>
    <mergeCell ref="A5:P5"/>
    <mergeCell ref="K10:L11"/>
    <mergeCell ref="M10:N11"/>
    <mergeCell ref="L12:L13"/>
    <mergeCell ref="O12:O13"/>
    <mergeCell ref="P12:P13"/>
    <mergeCell ref="A10:A13"/>
    <mergeCell ref="B10:B13"/>
    <mergeCell ref="E10:F11"/>
    <mergeCell ref="H10:H11"/>
  </mergeCells>
  <printOptions horizontalCentered="1"/>
  <pageMargins left="0.15748031496062992" right="0.15748031496062992" top="0.15748031496062992" bottom="0.1968503937007874" header="0.15748031496062992" footer="0.31496062992125984"/>
  <pageSetup horizontalDpi="600" verticalDpi="600" orientation="landscape" paperSize="9" scale="80" r:id="rId1"/>
  <headerFooter alignWithMargins="0">
    <oddHeader>&amp;L19. melléklet a 14/2013. (V.2.) önkormányzati rendelethez
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H49"/>
  <sheetViews>
    <sheetView zoomScaleSheetLayoutView="100" workbookViewId="0" topLeftCell="A1">
      <selection activeCell="E7" sqref="E7"/>
    </sheetView>
  </sheetViews>
  <sheetFormatPr defaultColWidth="9.00390625" defaultRowHeight="12.75"/>
  <cols>
    <col min="1" max="1" width="3.875" style="717" customWidth="1"/>
    <col min="2" max="2" width="33.125" style="717" bestFit="1" customWidth="1"/>
    <col min="3" max="3" width="11.125" style="717" customWidth="1"/>
    <col min="4" max="4" width="9.125" style="717" customWidth="1"/>
    <col min="5" max="5" width="12.375" style="717" customWidth="1"/>
    <col min="6" max="6" width="11.875" style="717" customWidth="1"/>
    <col min="7" max="7" width="11.625" style="717" customWidth="1"/>
    <col min="8" max="8" width="10.00390625" style="717" customWidth="1"/>
    <col min="9" max="16384" width="9.125" style="717" customWidth="1"/>
  </cols>
  <sheetData>
    <row r="1" spans="1:8" ht="12.75">
      <c r="A1" s="750"/>
      <c r="B1" s="718"/>
      <c r="C1" s="754"/>
      <c r="D1" s="754"/>
      <c r="E1" s="754"/>
      <c r="F1" s="754"/>
      <c r="G1" s="754"/>
      <c r="H1" s="754"/>
    </row>
    <row r="2" spans="1:8" ht="13.5">
      <c r="A2" s="1617" t="s">
        <v>557</v>
      </c>
      <c r="B2" s="1617"/>
      <c r="C2" s="1617"/>
      <c r="D2" s="1617"/>
      <c r="E2" s="1617"/>
      <c r="F2" s="1617"/>
      <c r="G2" s="1617"/>
      <c r="H2" s="1617"/>
    </row>
    <row r="3" spans="1:8" ht="13.5">
      <c r="A3" s="1617" t="s">
        <v>844</v>
      </c>
      <c r="B3" s="1617"/>
      <c r="C3" s="1617"/>
      <c r="D3" s="1617"/>
      <c r="E3" s="1617"/>
      <c r="F3" s="1617"/>
      <c r="G3" s="1617"/>
      <c r="H3" s="1617"/>
    </row>
    <row r="4" spans="1:8" ht="15.75">
      <c r="A4" s="1618" t="s">
        <v>558</v>
      </c>
      <c r="B4" s="1618"/>
      <c r="C4" s="1618"/>
      <c r="D4" s="1618"/>
      <c r="E4" s="1618"/>
      <c r="F4" s="1618"/>
      <c r="G4" s="1618"/>
      <c r="H4" s="1618"/>
    </row>
    <row r="5" spans="1:8" ht="15.75">
      <c r="A5" s="755"/>
      <c r="B5" s="755"/>
      <c r="C5" s="755"/>
      <c r="D5" s="755"/>
      <c r="E5" s="755"/>
      <c r="F5" s="755"/>
      <c r="G5" s="755"/>
      <c r="H5" s="755"/>
    </row>
    <row r="6" spans="1:8" ht="16.5" thickBot="1">
      <c r="A6" s="1210"/>
      <c r="B6" s="756"/>
      <c r="C6" s="719"/>
      <c r="D6" s="719"/>
      <c r="E6" s="719"/>
      <c r="F6" s="719"/>
      <c r="G6" s="719"/>
      <c r="H6" s="757" t="s">
        <v>538</v>
      </c>
    </row>
    <row r="7" spans="1:8" ht="51.75" thickBot="1">
      <c r="A7" s="1619" t="s">
        <v>558</v>
      </c>
      <c r="B7" s="1620"/>
      <c r="C7" s="1208" t="s">
        <v>559</v>
      </c>
      <c r="D7" s="1208" t="s">
        <v>560</v>
      </c>
      <c r="E7" s="1208" t="s">
        <v>561</v>
      </c>
      <c r="F7" s="1208" t="s">
        <v>562</v>
      </c>
      <c r="G7" s="1208" t="s">
        <v>600</v>
      </c>
      <c r="H7" s="1209" t="s">
        <v>563</v>
      </c>
    </row>
    <row r="8" spans="1:8" s="769" customFormat="1" ht="12.75">
      <c r="A8" s="1197" t="s">
        <v>564</v>
      </c>
      <c r="B8" s="767" t="s">
        <v>565</v>
      </c>
      <c r="C8" s="774">
        <f>SUM(C9:C12)</f>
        <v>16860458</v>
      </c>
      <c r="D8" s="774"/>
      <c r="E8" s="1204">
        <f>SUM(E9:E12)</f>
        <v>16860458</v>
      </c>
      <c r="F8" s="774">
        <f>SUM(F9:F12)</f>
        <v>16738587</v>
      </c>
      <c r="G8" s="774"/>
      <c r="H8" s="1205">
        <f>SUM(H9:H12)</f>
        <v>16738587</v>
      </c>
    </row>
    <row r="9" spans="1:8" ht="12.75">
      <c r="A9" s="1198" t="s">
        <v>566</v>
      </c>
      <c r="B9" s="758" t="s">
        <v>567</v>
      </c>
      <c r="C9" s="720">
        <v>20713</v>
      </c>
      <c r="D9" s="720"/>
      <c r="E9" s="759">
        <v>20713</v>
      </c>
      <c r="F9" s="720">
        <v>14546</v>
      </c>
      <c r="G9" s="720"/>
      <c r="H9" s="1125">
        <f>F9</f>
        <v>14546</v>
      </c>
    </row>
    <row r="10" spans="1:8" ht="12.75">
      <c r="A10" s="1198" t="s">
        <v>568</v>
      </c>
      <c r="B10" s="758" t="s">
        <v>569</v>
      </c>
      <c r="C10" s="720">
        <v>11917950</v>
      </c>
      <c r="D10" s="720"/>
      <c r="E10" s="759">
        <v>11917950</v>
      </c>
      <c r="F10" s="720">
        <v>11719347</v>
      </c>
      <c r="G10" s="720"/>
      <c r="H10" s="1125">
        <f>F10</f>
        <v>11719347</v>
      </c>
    </row>
    <row r="11" spans="1:8" ht="12.75">
      <c r="A11" s="1198" t="s">
        <v>570</v>
      </c>
      <c r="B11" s="758" t="s">
        <v>571</v>
      </c>
      <c r="C11" s="720">
        <v>404624</v>
      </c>
      <c r="D11" s="720"/>
      <c r="E11" s="759">
        <v>404624</v>
      </c>
      <c r="F11" s="720">
        <v>402264</v>
      </c>
      <c r="G11" s="720"/>
      <c r="H11" s="1125">
        <f>F11</f>
        <v>402264</v>
      </c>
    </row>
    <row r="12" spans="1:8" ht="12.75">
      <c r="A12" s="1198" t="s">
        <v>572</v>
      </c>
      <c r="B12" s="758" t="s">
        <v>573</v>
      </c>
      <c r="C12" s="720">
        <v>4517171</v>
      </c>
      <c r="D12" s="720"/>
      <c r="E12" s="759">
        <v>4517171</v>
      </c>
      <c r="F12" s="720">
        <v>4602430</v>
      </c>
      <c r="G12" s="720"/>
      <c r="H12" s="1125">
        <f>F12</f>
        <v>4602430</v>
      </c>
    </row>
    <row r="13" spans="1:8" ht="12.75">
      <c r="A13" s="1198"/>
      <c r="B13" s="758"/>
      <c r="C13" s="720"/>
      <c r="D13" s="720"/>
      <c r="E13" s="759"/>
      <c r="F13" s="720"/>
      <c r="G13" s="720"/>
      <c r="H13" s="1125"/>
    </row>
    <row r="14" spans="1:8" s="769" customFormat="1" ht="12.75">
      <c r="A14" s="1199" t="s">
        <v>574</v>
      </c>
      <c r="B14" s="770" t="s">
        <v>575</v>
      </c>
      <c r="C14" s="771">
        <f>SUM(C15:C19)</f>
        <v>1256563</v>
      </c>
      <c r="D14" s="771"/>
      <c r="E14" s="772">
        <f>SUM(E15:E19)</f>
        <v>1256563</v>
      </c>
      <c r="F14" s="771">
        <f>SUM(F15:F19)</f>
        <v>1612397</v>
      </c>
      <c r="G14" s="771"/>
      <c r="H14" s="1200">
        <f>F14</f>
        <v>1612397</v>
      </c>
    </row>
    <row r="15" spans="1:8" ht="12.75">
      <c r="A15" s="1198" t="s">
        <v>566</v>
      </c>
      <c r="B15" s="758" t="s">
        <v>576</v>
      </c>
      <c r="C15" s="720">
        <v>9926</v>
      </c>
      <c r="D15" s="720"/>
      <c r="E15" s="759">
        <v>9926</v>
      </c>
      <c r="F15" s="720">
        <v>1955</v>
      </c>
      <c r="G15" s="720"/>
      <c r="H15" s="1125">
        <f>F15</f>
        <v>1955</v>
      </c>
    </row>
    <row r="16" spans="1:8" ht="12.75">
      <c r="A16" s="1198" t="s">
        <v>568</v>
      </c>
      <c r="B16" s="758" t="s">
        <v>577</v>
      </c>
      <c r="C16" s="720">
        <v>613130</v>
      </c>
      <c r="D16" s="720"/>
      <c r="E16" s="759">
        <v>613130</v>
      </c>
      <c r="F16" s="720">
        <v>735704</v>
      </c>
      <c r="G16" s="720"/>
      <c r="H16" s="1125">
        <f>F16</f>
        <v>735704</v>
      </c>
    </row>
    <row r="17" spans="1:8" ht="12.75">
      <c r="A17" s="1198" t="s">
        <v>570</v>
      </c>
      <c r="B17" s="758" t="s">
        <v>578</v>
      </c>
      <c r="C17" s="720">
        <v>0</v>
      </c>
      <c r="D17" s="720"/>
      <c r="E17" s="759">
        <v>0</v>
      </c>
      <c r="F17" s="720"/>
      <c r="G17" s="720"/>
      <c r="H17" s="1125"/>
    </row>
    <row r="18" spans="1:8" ht="12.75">
      <c r="A18" s="1198" t="s">
        <v>572</v>
      </c>
      <c r="B18" s="758" t="s">
        <v>579</v>
      </c>
      <c r="C18" s="720">
        <v>514933</v>
      </c>
      <c r="D18" s="720"/>
      <c r="E18" s="759">
        <v>514933</v>
      </c>
      <c r="F18" s="720">
        <v>820162</v>
      </c>
      <c r="G18" s="720"/>
      <c r="H18" s="1125">
        <f>F18</f>
        <v>820162</v>
      </c>
    </row>
    <row r="19" spans="1:8" ht="12.75">
      <c r="A19" s="1198" t="s">
        <v>580</v>
      </c>
      <c r="B19" s="758" t="s">
        <v>581</v>
      </c>
      <c r="C19" s="720">
        <v>118574</v>
      </c>
      <c r="D19" s="720"/>
      <c r="E19" s="759">
        <v>118574</v>
      </c>
      <c r="F19" s="720">
        <v>54576</v>
      </c>
      <c r="G19" s="720"/>
      <c r="H19" s="1125">
        <f>F19</f>
        <v>54576</v>
      </c>
    </row>
    <row r="20" spans="1:8" ht="12.75">
      <c r="A20" s="1198"/>
      <c r="B20" s="758"/>
      <c r="C20" s="720"/>
      <c r="D20" s="720"/>
      <c r="E20" s="759"/>
      <c r="F20" s="720"/>
      <c r="G20" s="720"/>
      <c r="H20" s="1125"/>
    </row>
    <row r="21" spans="1:8" s="766" customFormat="1" ht="13.5" thickBot="1">
      <c r="A21" s="1201" t="s">
        <v>582</v>
      </c>
      <c r="B21" s="1166"/>
      <c r="C21" s="1202">
        <f>SUM(C8+C14)</f>
        <v>18117021</v>
      </c>
      <c r="D21" s="1202"/>
      <c r="E21" s="1203">
        <f>SUM(E8+E14)</f>
        <v>18117021</v>
      </c>
      <c r="F21" s="1202">
        <f>SUM(F8+F14)</f>
        <v>18350984</v>
      </c>
      <c r="G21" s="1202"/>
      <c r="H21" s="1168">
        <f>SUM(H8+H14)</f>
        <v>18350984</v>
      </c>
    </row>
    <row r="22" spans="1:8" ht="12.75">
      <c r="A22" s="760"/>
      <c r="B22" s="760"/>
      <c r="C22" s="761"/>
      <c r="D22" s="761"/>
      <c r="E22" s="761"/>
      <c r="F22" s="761"/>
      <c r="G22" s="761"/>
      <c r="H22" s="761"/>
    </row>
    <row r="23" spans="1:8" ht="12.75">
      <c r="A23" s="760"/>
      <c r="B23" s="760"/>
      <c r="C23" s="761"/>
      <c r="D23" s="761"/>
      <c r="E23" s="761"/>
      <c r="F23" s="761"/>
      <c r="G23" s="761"/>
      <c r="H23" s="761"/>
    </row>
    <row r="24" spans="1:8" ht="12.75">
      <c r="A24" s="760"/>
      <c r="B24" s="760"/>
      <c r="C24" s="761"/>
      <c r="D24" s="761"/>
      <c r="E24" s="761"/>
      <c r="F24" s="761"/>
      <c r="G24" s="761"/>
      <c r="H24" s="761"/>
    </row>
    <row r="25" spans="1:8" ht="12.75">
      <c r="A25" s="762"/>
      <c r="B25" s="763"/>
      <c r="C25" s="764"/>
      <c r="D25" s="764"/>
      <c r="E25" s="764"/>
      <c r="F25" s="764"/>
      <c r="G25" s="764"/>
      <c r="H25" s="764"/>
    </row>
    <row r="26" spans="1:8" ht="13.5">
      <c r="A26" s="1617" t="s">
        <v>557</v>
      </c>
      <c r="B26" s="1617"/>
      <c r="C26" s="1617"/>
      <c r="D26" s="1617"/>
      <c r="E26" s="1617"/>
      <c r="F26" s="1617"/>
      <c r="G26" s="1617"/>
      <c r="H26" s="1617"/>
    </row>
    <row r="27" spans="1:8" ht="13.5">
      <c r="A27" s="1617" t="s">
        <v>844</v>
      </c>
      <c r="B27" s="1617"/>
      <c r="C27" s="1617"/>
      <c r="D27" s="1617"/>
      <c r="E27" s="1617"/>
      <c r="F27" s="1617"/>
      <c r="G27" s="1617"/>
      <c r="H27" s="1617"/>
    </row>
    <row r="28" spans="1:8" ht="15.75">
      <c r="A28" s="1618" t="s">
        <v>583</v>
      </c>
      <c r="B28" s="1618"/>
      <c r="C28" s="1618"/>
      <c r="D28" s="1618"/>
      <c r="E28" s="1618"/>
      <c r="F28" s="1618"/>
      <c r="G28" s="1618"/>
      <c r="H28" s="1618"/>
    </row>
    <row r="29" ht="13.5" thickBot="1">
      <c r="H29" s="757" t="s">
        <v>538</v>
      </c>
    </row>
    <row r="30" spans="1:8" ht="51.75" thickBot="1">
      <c r="A30" s="1206" t="s">
        <v>583</v>
      </c>
      <c r="B30" s="1207"/>
      <c r="C30" s="1208" t="s">
        <v>559</v>
      </c>
      <c r="D30" s="1208" t="s">
        <v>560</v>
      </c>
      <c r="E30" s="1208" t="s">
        <v>561</v>
      </c>
      <c r="F30" s="1208" t="s">
        <v>562</v>
      </c>
      <c r="G30" s="1208" t="s">
        <v>600</v>
      </c>
      <c r="H30" s="1209" t="s">
        <v>563</v>
      </c>
    </row>
    <row r="31" spans="1:8" s="769" customFormat="1" ht="12.75">
      <c r="A31" s="1197" t="s">
        <v>584</v>
      </c>
      <c r="B31" s="767" t="s">
        <v>585</v>
      </c>
      <c r="C31" s="774">
        <f>SUM(C32:C34)</f>
        <v>11221615</v>
      </c>
      <c r="D31" s="768"/>
      <c r="E31" s="1204">
        <f>SUM(E32:E34)</f>
        <v>11221615</v>
      </c>
      <c r="F31" s="774">
        <f>SUM(F32:F33)</f>
        <v>11637988</v>
      </c>
      <c r="G31" s="768"/>
      <c r="H31" s="1205">
        <f>SUM(H32:H33)</f>
        <v>11637988</v>
      </c>
    </row>
    <row r="32" spans="1:8" ht="12.75">
      <c r="A32" s="1198" t="s">
        <v>1064</v>
      </c>
      <c r="B32" s="758" t="s">
        <v>586</v>
      </c>
      <c r="C32" s="720">
        <v>9808144</v>
      </c>
      <c r="D32" s="765"/>
      <c r="E32" s="759">
        <v>9808144</v>
      </c>
      <c r="F32" s="720">
        <v>9688414</v>
      </c>
      <c r="G32" s="765"/>
      <c r="H32" s="1125">
        <v>9688414</v>
      </c>
    </row>
    <row r="33" spans="1:8" ht="12.75">
      <c r="A33" s="1198" t="s">
        <v>587</v>
      </c>
      <c r="B33" s="758" t="s">
        <v>588</v>
      </c>
      <c r="C33" s="720">
        <v>1413471</v>
      </c>
      <c r="D33" s="765"/>
      <c r="E33" s="759">
        <v>1413471</v>
      </c>
      <c r="F33" s="720">
        <v>1949574</v>
      </c>
      <c r="G33" s="765"/>
      <c r="H33" s="1125">
        <v>1949574</v>
      </c>
    </row>
    <row r="34" spans="1:8" ht="12.75">
      <c r="A34" s="1198" t="s">
        <v>1067</v>
      </c>
      <c r="B34" s="758" t="s">
        <v>589</v>
      </c>
      <c r="C34" s="720">
        <v>0</v>
      </c>
      <c r="D34" s="765"/>
      <c r="E34" s="759">
        <v>0</v>
      </c>
      <c r="F34" s="720">
        <v>0</v>
      </c>
      <c r="G34" s="765"/>
      <c r="H34" s="1125">
        <v>0</v>
      </c>
    </row>
    <row r="35" spans="1:8" ht="12.75">
      <c r="A35" s="1198"/>
      <c r="B35" s="758"/>
      <c r="C35" s="720"/>
      <c r="D35" s="765"/>
      <c r="E35" s="759"/>
      <c r="F35" s="720"/>
      <c r="G35" s="765"/>
      <c r="H35" s="1125"/>
    </row>
    <row r="36" spans="1:8" s="769" customFormat="1" ht="12.75">
      <c r="A36" s="1199" t="s">
        <v>590</v>
      </c>
      <c r="B36" s="770" t="s">
        <v>591</v>
      </c>
      <c r="C36" s="771">
        <f>SUM(C37:C38)</f>
        <v>520029</v>
      </c>
      <c r="D36" s="771"/>
      <c r="E36" s="772">
        <f>SUM(E37:E38)</f>
        <v>520029</v>
      </c>
      <c r="F36" s="771">
        <f>SUM(F37:F38)</f>
        <v>823374</v>
      </c>
      <c r="G36" s="771"/>
      <c r="H36" s="1200">
        <f>SUM(H37:H38)</f>
        <v>823374</v>
      </c>
    </row>
    <row r="37" spans="1:8" ht="12.75">
      <c r="A37" s="1198" t="s">
        <v>566</v>
      </c>
      <c r="B37" s="758" t="s">
        <v>592</v>
      </c>
      <c r="C37" s="720">
        <v>520029</v>
      </c>
      <c r="D37" s="765"/>
      <c r="E37" s="759">
        <v>520029</v>
      </c>
      <c r="F37" s="720">
        <v>823374</v>
      </c>
      <c r="G37" s="765"/>
      <c r="H37" s="1125">
        <v>823374</v>
      </c>
    </row>
    <row r="38" spans="1:8" ht="12.75">
      <c r="A38" s="1198" t="s">
        <v>593</v>
      </c>
      <c r="B38" s="758" t="s">
        <v>594</v>
      </c>
      <c r="C38" s="720">
        <v>0</v>
      </c>
      <c r="D38" s="765"/>
      <c r="E38" s="759">
        <v>0</v>
      </c>
      <c r="F38" s="720">
        <v>0</v>
      </c>
      <c r="G38" s="765"/>
      <c r="H38" s="1125">
        <v>0</v>
      </c>
    </row>
    <row r="39" spans="1:8" ht="12.75">
      <c r="A39" s="1198"/>
      <c r="B39" s="758"/>
      <c r="C39" s="720"/>
      <c r="D39" s="765"/>
      <c r="E39" s="759"/>
      <c r="F39" s="720"/>
      <c r="G39" s="765"/>
      <c r="H39" s="1125"/>
    </row>
    <row r="40" spans="1:8" s="769" customFormat="1" ht="12.75">
      <c r="A40" s="1199" t="s">
        <v>595</v>
      </c>
      <c r="B40" s="770" t="s">
        <v>596</v>
      </c>
      <c r="C40" s="771">
        <f>SUM(C41:C43)</f>
        <v>6375377</v>
      </c>
      <c r="D40" s="773"/>
      <c r="E40" s="772">
        <f>SUM(E41:E43)</f>
        <v>6375377</v>
      </c>
      <c r="F40" s="771">
        <f>SUM(F41:F43)</f>
        <v>5889622</v>
      </c>
      <c r="G40" s="773"/>
      <c r="H40" s="1200">
        <f>SUM(H41:H43)</f>
        <v>5889622</v>
      </c>
    </row>
    <row r="41" spans="1:8" ht="12.75">
      <c r="A41" s="1198" t="s">
        <v>566</v>
      </c>
      <c r="B41" s="758" t="s">
        <v>927</v>
      </c>
      <c r="C41" s="720">
        <v>5659763</v>
      </c>
      <c r="D41" s="765"/>
      <c r="E41" s="759">
        <v>5659763</v>
      </c>
      <c r="F41" s="720">
        <v>5253754</v>
      </c>
      <c r="G41" s="765"/>
      <c r="H41" s="1125">
        <v>5253754</v>
      </c>
    </row>
    <row r="42" spans="1:8" ht="12.75">
      <c r="A42" s="1198" t="s">
        <v>568</v>
      </c>
      <c r="B42" s="758" t="s">
        <v>597</v>
      </c>
      <c r="C42" s="720">
        <v>602136</v>
      </c>
      <c r="D42" s="765"/>
      <c r="E42" s="759">
        <v>602136</v>
      </c>
      <c r="F42" s="720">
        <v>584504</v>
      </c>
      <c r="G42" s="765"/>
      <c r="H42" s="1125">
        <v>584504</v>
      </c>
    </row>
    <row r="43" spans="1:8" ht="12.75">
      <c r="A43" s="1198" t="s">
        <v>570</v>
      </c>
      <c r="B43" s="758" t="s">
        <v>598</v>
      </c>
      <c r="C43" s="720">
        <v>113478</v>
      </c>
      <c r="D43" s="765"/>
      <c r="E43" s="759">
        <v>113478</v>
      </c>
      <c r="F43" s="720">
        <v>51364</v>
      </c>
      <c r="G43" s="765"/>
      <c r="H43" s="1125">
        <v>51364</v>
      </c>
    </row>
    <row r="44" spans="1:8" ht="12.75">
      <c r="A44" s="1198"/>
      <c r="B44" s="758"/>
      <c r="C44" s="720"/>
      <c r="D44" s="765"/>
      <c r="E44" s="759"/>
      <c r="F44" s="720"/>
      <c r="G44" s="765"/>
      <c r="H44" s="1125"/>
    </row>
    <row r="45" spans="1:8" s="766" customFormat="1" ht="13.5" thickBot="1">
      <c r="A45" s="1201"/>
      <c r="B45" s="1166" t="s">
        <v>599</v>
      </c>
      <c r="C45" s="1167">
        <f>SUM(C31+C36+C40)</f>
        <v>18117021</v>
      </c>
      <c r="D45" s="1202"/>
      <c r="E45" s="1203">
        <f>SUM(E31+E36+E40)</f>
        <v>18117021</v>
      </c>
      <c r="F45" s="1167">
        <f>SUM(F31+F36+F40)</f>
        <v>18350984</v>
      </c>
      <c r="G45" s="1202"/>
      <c r="H45" s="1168">
        <f>SUM(H31+H36+H40)</f>
        <v>18350984</v>
      </c>
    </row>
    <row r="46" spans="1:8" ht="12.75">
      <c r="A46" s="718"/>
      <c r="B46" s="718"/>
      <c r="C46" s="754"/>
      <c r="D46" s="754"/>
      <c r="E46" s="754"/>
      <c r="F46" s="754"/>
      <c r="G46" s="754"/>
      <c r="H46" s="754"/>
    </row>
    <row r="47" spans="1:8" ht="12.75">
      <c r="A47" s="718"/>
      <c r="B47" s="718"/>
      <c r="C47" s="754"/>
      <c r="D47" s="754"/>
      <c r="E47" s="754"/>
      <c r="F47" s="754"/>
      <c r="G47" s="754"/>
      <c r="H47" s="754"/>
    </row>
    <row r="48" spans="1:8" ht="12.75">
      <c r="A48" s="718"/>
      <c r="B48" s="718"/>
      <c r="C48" s="754"/>
      <c r="D48" s="754"/>
      <c r="E48" s="754"/>
      <c r="F48" s="754"/>
      <c r="G48" s="754"/>
      <c r="H48" s="754"/>
    </row>
    <row r="49" spans="1:8" ht="12.75">
      <c r="A49" s="718"/>
      <c r="B49" s="718"/>
      <c r="C49" s="754"/>
      <c r="D49" s="754"/>
      <c r="E49" s="754"/>
      <c r="F49" s="754"/>
      <c r="G49" s="754"/>
      <c r="H49" s="754"/>
    </row>
  </sheetData>
  <mergeCells count="7">
    <mergeCell ref="A27:H27"/>
    <mergeCell ref="A28:H28"/>
    <mergeCell ref="A7:B7"/>
    <mergeCell ref="A2:H2"/>
    <mergeCell ref="A3:H3"/>
    <mergeCell ref="A4:H4"/>
    <mergeCell ref="A26:H26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3" r:id="rId1"/>
  <headerFooter alignWithMargins="0">
    <oddHeader>&amp;L20.sz.melléklet a 14/2013.(V.2.)önkormányzati rendelethez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59"/>
  <sheetViews>
    <sheetView view="pageBreakPreview" zoomScaleSheetLayoutView="100" workbookViewId="0" topLeftCell="A34">
      <selection activeCell="D53" sqref="D53"/>
    </sheetView>
  </sheetViews>
  <sheetFormatPr defaultColWidth="9.00390625" defaultRowHeight="12.75"/>
  <cols>
    <col min="1" max="1" width="6.75390625" style="717" customWidth="1"/>
    <col min="2" max="2" width="62.625" style="717" customWidth="1"/>
    <col min="3" max="3" width="11.125" style="717" customWidth="1"/>
    <col min="4" max="4" width="9.75390625" style="717" bestFit="1" customWidth="1"/>
    <col min="5" max="5" width="9.375" style="717" customWidth="1"/>
    <col min="6" max="16384" width="9.125" style="717" customWidth="1"/>
  </cols>
  <sheetData>
    <row r="1" spans="1:5" ht="12.75">
      <c r="A1" s="750"/>
      <c r="B1" s="1109"/>
      <c r="C1" s="1129"/>
      <c r="D1" s="1129"/>
      <c r="E1" s="1129"/>
    </row>
    <row r="2" spans="1:5" ht="12.75">
      <c r="A2" s="1130"/>
      <c r="B2" s="718"/>
      <c r="C2" s="754"/>
      <c r="D2" s="754"/>
      <c r="E2" s="754"/>
    </row>
    <row r="3" spans="1:5" ht="13.5">
      <c r="A3" s="1617" t="s">
        <v>557</v>
      </c>
      <c r="B3" s="1621"/>
      <c r="C3" s="1621"/>
      <c r="D3" s="1621"/>
      <c r="E3" s="1621"/>
    </row>
    <row r="4" spans="1:5" ht="13.5">
      <c r="A4" s="1617" t="s">
        <v>404</v>
      </c>
      <c r="B4" s="1621"/>
      <c r="C4" s="1621"/>
      <c r="D4" s="1621"/>
      <c r="E4" s="1621"/>
    </row>
    <row r="5" spans="1:5" ht="13.5">
      <c r="A5" s="1066"/>
      <c r="B5" s="1131"/>
      <c r="C5" s="1131"/>
      <c r="D5" s="1131"/>
      <c r="E5" s="1131"/>
    </row>
    <row r="6" spans="1:5" ht="13.5" thickBot="1">
      <c r="A6" s="1130"/>
      <c r="B6" s="718"/>
      <c r="C6" s="754"/>
      <c r="D6" s="754"/>
      <c r="E6" s="757"/>
    </row>
    <row r="7" spans="1:5" ht="12.75">
      <c r="A7" s="1149" t="s">
        <v>319</v>
      </c>
      <c r="B7" s="1150" t="s">
        <v>873</v>
      </c>
      <c r="C7" s="1151" t="s">
        <v>753</v>
      </c>
      <c r="D7" s="1151" t="s">
        <v>320</v>
      </c>
      <c r="E7" s="1152" t="s">
        <v>824</v>
      </c>
    </row>
    <row r="8" spans="1:5" ht="13.5" thickBot="1">
      <c r="A8" s="1153" t="s">
        <v>321</v>
      </c>
      <c r="B8" s="1132"/>
      <c r="C8" s="1622" t="s">
        <v>322</v>
      </c>
      <c r="D8" s="1623"/>
      <c r="E8" s="1154"/>
    </row>
    <row r="9" spans="1:5" ht="13.5" thickTop="1">
      <c r="A9" s="1155">
        <v>1</v>
      </c>
      <c r="B9" s="1133" t="s">
        <v>757</v>
      </c>
      <c r="C9" s="1134">
        <v>1689559</v>
      </c>
      <c r="D9" s="1134">
        <v>1511795</v>
      </c>
      <c r="E9" s="1156">
        <v>1481205</v>
      </c>
    </row>
    <row r="10" spans="1:5" ht="12.75">
      <c r="A10" s="1157">
        <v>2</v>
      </c>
      <c r="B10" s="758" t="s">
        <v>323</v>
      </c>
      <c r="C10" s="720">
        <v>459656</v>
      </c>
      <c r="D10" s="720">
        <v>399989</v>
      </c>
      <c r="E10" s="1125">
        <v>393164</v>
      </c>
    </row>
    <row r="11" spans="1:5" ht="12.75">
      <c r="A11" s="1157">
        <v>3</v>
      </c>
      <c r="B11" s="758" t="s">
        <v>715</v>
      </c>
      <c r="C11" s="720">
        <v>1503086</v>
      </c>
      <c r="D11" s="720">
        <v>1478640</v>
      </c>
      <c r="E11" s="1125">
        <v>1324894</v>
      </c>
    </row>
    <row r="12" spans="1:5" ht="12.75">
      <c r="A12" s="1157">
        <v>4</v>
      </c>
      <c r="B12" s="758" t="s">
        <v>324</v>
      </c>
      <c r="C12" s="720">
        <v>3076349</v>
      </c>
      <c r="D12" s="720">
        <v>475191</v>
      </c>
      <c r="E12" s="1125">
        <v>827141</v>
      </c>
    </row>
    <row r="13" spans="1:5" ht="12.75">
      <c r="A13" s="1157">
        <v>5</v>
      </c>
      <c r="B13" s="758" t="s">
        <v>325</v>
      </c>
      <c r="C13" s="720">
        <v>346470</v>
      </c>
      <c r="D13" s="720">
        <v>418734</v>
      </c>
      <c r="E13" s="1125">
        <v>348176</v>
      </c>
    </row>
    <row r="14" spans="1:5" ht="12.75">
      <c r="A14" s="1157">
        <v>6</v>
      </c>
      <c r="B14" s="758" t="s">
        <v>326</v>
      </c>
      <c r="C14" s="720">
        <v>9420</v>
      </c>
      <c r="D14" s="720">
        <v>8362</v>
      </c>
      <c r="E14" s="1125">
        <v>8362</v>
      </c>
    </row>
    <row r="15" spans="1:5" ht="12.75">
      <c r="A15" s="1157">
        <v>7</v>
      </c>
      <c r="B15" s="758" t="s">
        <v>765</v>
      </c>
      <c r="C15" s="720">
        <v>32851</v>
      </c>
      <c r="D15" s="720">
        <v>94267</v>
      </c>
      <c r="E15" s="1125">
        <v>83792</v>
      </c>
    </row>
    <row r="16" spans="1:5" ht="12.75">
      <c r="A16" s="1157">
        <v>8</v>
      </c>
      <c r="B16" s="758" t="s">
        <v>823</v>
      </c>
      <c r="C16" s="720">
        <v>1540001</v>
      </c>
      <c r="D16" s="720">
        <v>791796</v>
      </c>
      <c r="E16" s="1125">
        <v>220936</v>
      </c>
    </row>
    <row r="17" spans="1:5" ht="12.75">
      <c r="A17" s="1157">
        <v>9</v>
      </c>
      <c r="B17" s="758" t="s">
        <v>327</v>
      </c>
      <c r="C17" s="720">
        <v>18300</v>
      </c>
      <c r="D17" s="720">
        <v>349419</v>
      </c>
      <c r="E17" s="1125">
        <v>339897</v>
      </c>
    </row>
    <row r="18" spans="1:5" ht="12.75">
      <c r="A18" s="1157">
        <v>10</v>
      </c>
      <c r="B18" s="758" t="s">
        <v>328</v>
      </c>
      <c r="C18" s="720">
        <v>28336</v>
      </c>
      <c r="D18" s="720">
        <v>80369</v>
      </c>
      <c r="E18" s="1125">
        <v>24380</v>
      </c>
    </row>
    <row r="19" spans="1:5" ht="12.75">
      <c r="A19" s="1157">
        <v>11</v>
      </c>
      <c r="B19" s="758" t="s">
        <v>329</v>
      </c>
      <c r="C19" s="720">
        <v>3000</v>
      </c>
      <c r="D19" s="720">
        <v>3100</v>
      </c>
      <c r="E19" s="1125">
        <v>1600</v>
      </c>
    </row>
    <row r="20" spans="1:5" ht="12.75">
      <c r="A20" s="1157">
        <v>12</v>
      </c>
      <c r="B20" s="758" t="s">
        <v>330</v>
      </c>
      <c r="C20" s="720">
        <v>2500</v>
      </c>
      <c r="D20" s="720">
        <v>65057</v>
      </c>
      <c r="E20" s="1125">
        <v>65057</v>
      </c>
    </row>
    <row r="21" spans="1:5" ht="12.75">
      <c r="A21" s="1158">
        <v>13</v>
      </c>
      <c r="B21" s="1135" t="s">
        <v>331</v>
      </c>
      <c r="C21" s="1136">
        <f>SUM(C9:C20)</f>
        <v>8709528</v>
      </c>
      <c r="D21" s="1136">
        <f>SUM(D9:D20)</f>
        <v>5676719</v>
      </c>
      <c r="E21" s="1159">
        <f>SUM(E9:E20)</f>
        <v>5118604</v>
      </c>
    </row>
    <row r="22" spans="1:5" ht="12.75">
      <c r="A22" s="1158">
        <v>14</v>
      </c>
      <c r="B22" s="758" t="s">
        <v>332</v>
      </c>
      <c r="C22" s="720">
        <v>134015</v>
      </c>
      <c r="D22" s="720">
        <v>134065</v>
      </c>
      <c r="E22" s="1125">
        <v>134049</v>
      </c>
    </row>
    <row r="23" spans="1:5" s="1137" customFormat="1" ht="12.75">
      <c r="A23" s="1157">
        <v>15</v>
      </c>
      <c r="B23" s="758" t="s">
        <v>333</v>
      </c>
      <c r="C23" s="720"/>
      <c r="D23" s="720"/>
      <c r="E23" s="1125"/>
    </row>
    <row r="24" spans="1:5" s="1137" customFormat="1" ht="12.75">
      <c r="A24" s="1157">
        <v>16</v>
      </c>
      <c r="B24" s="1138" t="s">
        <v>334</v>
      </c>
      <c r="C24" s="720"/>
      <c r="D24" s="720"/>
      <c r="E24" s="1125"/>
    </row>
    <row r="25" spans="1:5" s="1137" customFormat="1" ht="12.75">
      <c r="A25" s="1157">
        <v>17</v>
      </c>
      <c r="B25" s="758" t="s">
        <v>335</v>
      </c>
      <c r="C25" s="720"/>
      <c r="D25" s="720"/>
      <c r="E25" s="1125"/>
    </row>
    <row r="26" spans="1:5" ht="12.75">
      <c r="A26" s="1157">
        <v>18</v>
      </c>
      <c r="B26" s="758" t="s">
        <v>336</v>
      </c>
      <c r="C26" s="720"/>
      <c r="D26" s="720"/>
      <c r="E26" s="1125"/>
    </row>
    <row r="27" spans="1:5" ht="12.75">
      <c r="A27" s="1158">
        <v>19</v>
      </c>
      <c r="B27" s="1135" t="s">
        <v>337</v>
      </c>
      <c r="C27" s="1136">
        <v>134015</v>
      </c>
      <c r="D27" s="1136">
        <v>134065</v>
      </c>
      <c r="E27" s="1159">
        <v>134049</v>
      </c>
    </row>
    <row r="28" spans="1:5" ht="13.5">
      <c r="A28" s="1158">
        <v>20</v>
      </c>
      <c r="B28" s="1139" t="s">
        <v>338</v>
      </c>
      <c r="C28" s="1136">
        <f>SUM(C21+C27)</f>
        <v>8843543</v>
      </c>
      <c r="D28" s="1136">
        <f>SUM(D21+D27)</f>
        <v>5810784</v>
      </c>
      <c r="E28" s="1136">
        <f>SUM(E21+E27)</f>
        <v>5252653</v>
      </c>
    </row>
    <row r="29" spans="1:5" ht="13.5">
      <c r="A29" s="1157">
        <v>21</v>
      </c>
      <c r="B29" s="758" t="s">
        <v>339</v>
      </c>
      <c r="C29" s="1148"/>
      <c r="D29" s="1148"/>
      <c r="E29" s="1148"/>
    </row>
    <row r="30" spans="1:5" ht="12.75">
      <c r="A30" s="1157">
        <v>22</v>
      </c>
      <c r="B30" s="758" t="s">
        <v>340</v>
      </c>
      <c r="C30" s="720"/>
      <c r="D30" s="720"/>
      <c r="E30" s="1125">
        <v>-63998</v>
      </c>
    </row>
    <row r="31" spans="1:5" ht="13.5">
      <c r="A31" s="1157">
        <v>23</v>
      </c>
      <c r="B31" s="1140" t="s">
        <v>341</v>
      </c>
      <c r="C31" s="1141">
        <f>SUM(C28)</f>
        <v>8843543</v>
      </c>
      <c r="D31" s="1141">
        <f>SUM(D28)</f>
        <v>5810784</v>
      </c>
      <c r="E31" s="1160">
        <f>SUM(E28+E30)</f>
        <v>5188655</v>
      </c>
    </row>
    <row r="32" spans="1:5" ht="12.75">
      <c r="A32" s="1157">
        <v>24</v>
      </c>
      <c r="B32" s="758" t="s">
        <v>342</v>
      </c>
      <c r="C32" s="720">
        <v>284134</v>
      </c>
      <c r="D32" s="720">
        <v>357736</v>
      </c>
      <c r="E32" s="1125">
        <v>382358</v>
      </c>
    </row>
    <row r="33" spans="1:5" ht="12.75">
      <c r="A33" s="1157">
        <v>25</v>
      </c>
      <c r="B33" s="758" t="s">
        <v>1105</v>
      </c>
      <c r="C33" s="720">
        <v>2061412</v>
      </c>
      <c r="D33" s="720">
        <v>2160957</v>
      </c>
      <c r="E33" s="1125">
        <v>2273558</v>
      </c>
    </row>
    <row r="34" spans="1:5" ht="12.75">
      <c r="A34" s="1157">
        <v>26</v>
      </c>
      <c r="B34" s="758" t="s">
        <v>343</v>
      </c>
      <c r="C34" s="720">
        <v>919778</v>
      </c>
      <c r="D34" s="720">
        <v>620667</v>
      </c>
      <c r="E34" s="1125">
        <v>1097485</v>
      </c>
    </row>
    <row r="35" spans="1:5" ht="12.75">
      <c r="A35" s="1161">
        <v>27</v>
      </c>
      <c r="B35" s="1142" t="s">
        <v>344</v>
      </c>
      <c r="C35" s="720">
        <v>12840</v>
      </c>
      <c r="D35" s="720">
        <v>23834</v>
      </c>
      <c r="E35" s="1125">
        <v>15758</v>
      </c>
    </row>
    <row r="36" spans="1:9" ht="12.75">
      <c r="A36" s="1157">
        <v>28</v>
      </c>
      <c r="B36" s="758" t="s">
        <v>642</v>
      </c>
      <c r="C36" s="720">
        <v>355182</v>
      </c>
      <c r="D36" s="720">
        <v>274769</v>
      </c>
      <c r="E36" s="1125">
        <v>278914</v>
      </c>
      <c r="F36" s="1143"/>
      <c r="G36" s="1143"/>
      <c r="H36" s="1143"/>
      <c r="I36" s="1143"/>
    </row>
    <row r="37" spans="1:5" ht="12.75">
      <c r="A37" s="1157">
        <v>29</v>
      </c>
      <c r="B37" s="758" t="s">
        <v>345</v>
      </c>
      <c r="C37" s="720">
        <v>51536</v>
      </c>
      <c r="D37" s="720">
        <v>149005</v>
      </c>
      <c r="E37" s="1125">
        <v>149007</v>
      </c>
    </row>
    <row r="38" spans="1:5" ht="12.75">
      <c r="A38" s="1157">
        <v>30</v>
      </c>
      <c r="B38" s="758" t="s">
        <v>346</v>
      </c>
      <c r="C38" s="720">
        <v>1103231</v>
      </c>
      <c r="D38" s="720">
        <v>443972</v>
      </c>
      <c r="E38" s="1125">
        <v>419595</v>
      </c>
    </row>
    <row r="39" spans="1:5" ht="12.75">
      <c r="A39" s="1157">
        <v>31</v>
      </c>
      <c r="B39" s="758" t="s">
        <v>347</v>
      </c>
      <c r="C39" s="720">
        <v>11200</v>
      </c>
      <c r="D39" s="720">
        <v>6801</v>
      </c>
      <c r="E39" s="1125">
        <v>6453</v>
      </c>
    </row>
    <row r="40" spans="1:5" ht="12.75">
      <c r="A40" s="1157">
        <v>32</v>
      </c>
      <c r="B40" s="758" t="s">
        <v>348</v>
      </c>
      <c r="C40" s="720">
        <v>975132</v>
      </c>
      <c r="D40" s="720">
        <v>1030435</v>
      </c>
      <c r="E40" s="1125">
        <v>1061730</v>
      </c>
    </row>
    <row r="41" spans="1:5" ht="12.75">
      <c r="A41" s="1157">
        <v>33</v>
      </c>
      <c r="B41" s="758" t="s">
        <v>349</v>
      </c>
      <c r="C41" s="720">
        <v>975132</v>
      </c>
      <c r="D41" s="720">
        <v>1030435</v>
      </c>
      <c r="E41" s="1125">
        <v>1030435</v>
      </c>
    </row>
    <row r="42" spans="1:5" ht="12.75">
      <c r="A42" s="1157">
        <v>34</v>
      </c>
      <c r="B42" s="758" t="s">
        <v>350</v>
      </c>
      <c r="C42" s="720">
        <v>6000</v>
      </c>
      <c r="D42" s="720">
        <v>6000</v>
      </c>
      <c r="E42" s="1125">
        <v>5287</v>
      </c>
    </row>
    <row r="43" spans="1:5" ht="12.75">
      <c r="A43" s="1157">
        <v>35</v>
      </c>
      <c r="B43" s="758" t="s">
        <v>351</v>
      </c>
      <c r="C43" s="720">
        <v>80700</v>
      </c>
      <c r="D43" s="720">
        <v>84500</v>
      </c>
      <c r="E43" s="1125">
        <v>14860</v>
      </c>
    </row>
    <row r="44" spans="1:5" ht="12.75">
      <c r="A44" s="1162">
        <v>36</v>
      </c>
      <c r="B44" s="1144" t="s">
        <v>352</v>
      </c>
      <c r="C44" s="1136">
        <f>SUM(C32+C33+C34+C35+C36+C38+C39+C40+C42+C43)</f>
        <v>5809609</v>
      </c>
      <c r="D44" s="1136">
        <f>SUM(D32+D33+D34+D35+D36+D38+D39+D40+D42+D43)</f>
        <v>5009671</v>
      </c>
      <c r="E44" s="1136">
        <f>SUM(E32+E33+E34+E35+E36+E38+E39+E40+E42+E43)</f>
        <v>5555998</v>
      </c>
    </row>
    <row r="45" spans="1:5" ht="12.75">
      <c r="A45" s="1157">
        <v>37</v>
      </c>
      <c r="B45" s="758" t="s">
        <v>353</v>
      </c>
      <c r="C45" s="720">
        <v>1054863</v>
      </c>
      <c r="D45" s="720">
        <v>250000</v>
      </c>
      <c r="E45" s="1125">
        <v>0</v>
      </c>
    </row>
    <row r="46" spans="1:5" ht="12.75">
      <c r="A46" s="1157">
        <v>38</v>
      </c>
      <c r="B46" s="758" t="s">
        <v>354</v>
      </c>
      <c r="C46" s="720"/>
      <c r="D46" s="720"/>
      <c r="E46" s="1125"/>
    </row>
    <row r="47" spans="1:5" ht="12.75">
      <c r="A47" s="1157">
        <v>39</v>
      </c>
      <c r="B47" s="1138" t="s">
        <v>391</v>
      </c>
      <c r="C47" s="720"/>
      <c r="D47" s="720"/>
      <c r="E47" s="1125"/>
    </row>
    <row r="48" spans="1:5" ht="12.75">
      <c r="A48" s="1157">
        <v>40</v>
      </c>
      <c r="B48" s="758" t="s">
        <v>392</v>
      </c>
      <c r="C48" s="720"/>
      <c r="D48" s="720"/>
      <c r="E48" s="1125"/>
    </row>
    <row r="49" spans="1:5" ht="12.75">
      <c r="A49" s="1157">
        <v>41</v>
      </c>
      <c r="B49" s="758" t="s">
        <v>393</v>
      </c>
      <c r="C49" s="720"/>
      <c r="D49" s="720"/>
      <c r="E49" s="1125"/>
    </row>
    <row r="50" spans="1:5" ht="12.75">
      <c r="A50" s="1158">
        <v>42</v>
      </c>
      <c r="B50" s="1135" t="s">
        <v>394</v>
      </c>
      <c r="C50" s="1136">
        <v>1054863</v>
      </c>
      <c r="D50" s="1136">
        <v>250000</v>
      </c>
      <c r="E50" s="1159">
        <v>0</v>
      </c>
    </row>
    <row r="51" spans="1:5" ht="13.5">
      <c r="A51" s="1158">
        <v>43</v>
      </c>
      <c r="B51" s="1140" t="s">
        <v>395</v>
      </c>
      <c r="C51" s="1141">
        <f>SUM(C44+C50)</f>
        <v>6864472</v>
      </c>
      <c r="D51" s="1141">
        <f>SUM(D44+D50)</f>
        <v>5259671</v>
      </c>
      <c r="E51" s="1141">
        <f>SUM(E44+E50)</f>
        <v>5555998</v>
      </c>
    </row>
    <row r="52" spans="1:5" ht="12.75">
      <c r="A52" s="1157">
        <v>44</v>
      </c>
      <c r="B52" s="758" t="s">
        <v>396</v>
      </c>
      <c r="C52" s="720">
        <v>1979071</v>
      </c>
      <c r="D52" s="720">
        <v>551113</v>
      </c>
      <c r="E52" s="1125">
        <v>580167</v>
      </c>
    </row>
    <row r="53" spans="1:5" ht="12.75">
      <c r="A53" s="1157">
        <v>45</v>
      </c>
      <c r="B53" s="758" t="s">
        <v>397</v>
      </c>
      <c r="C53" s="720"/>
      <c r="D53" s="720"/>
      <c r="E53" s="1125"/>
    </row>
    <row r="54" spans="1:5" ht="12.75">
      <c r="A54" s="1157">
        <v>46</v>
      </c>
      <c r="B54" s="758" t="s">
        <v>398</v>
      </c>
      <c r="C54" s="720"/>
      <c r="D54" s="720"/>
      <c r="E54" s="1125">
        <v>-62000</v>
      </c>
    </row>
    <row r="55" spans="1:5" ht="13.5">
      <c r="A55" s="1163">
        <v>47</v>
      </c>
      <c r="B55" s="1145" t="s">
        <v>399</v>
      </c>
      <c r="C55" s="1146">
        <v>8843543</v>
      </c>
      <c r="D55" s="1146">
        <v>5810784</v>
      </c>
      <c r="E55" s="1164">
        <v>6074165</v>
      </c>
    </row>
    <row r="56" spans="1:5" ht="30" customHeight="1">
      <c r="A56" s="1158">
        <v>48</v>
      </c>
      <c r="B56" s="1147" t="s">
        <v>400</v>
      </c>
      <c r="C56" s="1136">
        <v>-2899919</v>
      </c>
      <c r="D56" s="1136">
        <v>-667048</v>
      </c>
      <c r="E56" s="1159">
        <v>437394</v>
      </c>
    </row>
    <row r="57" spans="1:5" ht="34.5" customHeight="1">
      <c r="A57" s="1158">
        <v>49</v>
      </c>
      <c r="B57" s="1147" t="s">
        <v>401</v>
      </c>
      <c r="C57" s="1136">
        <v>-920848</v>
      </c>
      <c r="D57" s="1136">
        <v>-115935</v>
      </c>
      <c r="E57" s="1159">
        <v>580167</v>
      </c>
    </row>
    <row r="58" spans="1:5" ht="12.75">
      <c r="A58" s="1158">
        <v>50</v>
      </c>
      <c r="B58" s="1135" t="s">
        <v>402</v>
      </c>
      <c r="C58" s="1136">
        <f>SUM(C50-C27)</f>
        <v>920848</v>
      </c>
      <c r="D58" s="1136">
        <f>SUM(D50-D27)</f>
        <v>115935</v>
      </c>
      <c r="E58" s="1136">
        <f>SUM(E50-E27)</f>
        <v>-134049</v>
      </c>
    </row>
    <row r="59" spans="1:5" ht="13.5" thickBot="1">
      <c r="A59" s="1165">
        <v>51</v>
      </c>
      <c r="B59" s="1166" t="s">
        <v>403</v>
      </c>
      <c r="C59" s="1167"/>
      <c r="D59" s="1167"/>
      <c r="E59" s="1168">
        <f>SUM(E54-E30)</f>
        <v>1998</v>
      </c>
    </row>
  </sheetData>
  <mergeCells count="3">
    <mergeCell ref="A3:E3"/>
    <mergeCell ref="A4:E4"/>
    <mergeCell ref="C8:D8"/>
  </mergeCells>
  <printOptions/>
  <pageMargins left="0.75" right="0.75" top="1" bottom="1" header="0.5" footer="0.5"/>
  <pageSetup horizontalDpi="600" verticalDpi="600" orientation="portrait" paperSize="9" scale="87" r:id="rId1"/>
  <headerFooter alignWithMargins="0">
    <oddHeader>&amp;L21.mellékelt a 14/2013.(V.2.)önkormányzati rendelethez
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A8" sqref="A8:H23"/>
    </sheetView>
  </sheetViews>
  <sheetFormatPr defaultColWidth="9.00390625" defaultRowHeight="12.75"/>
  <cols>
    <col min="1" max="1" width="7.00390625" style="1084" customWidth="1"/>
    <col min="2" max="2" width="59.25390625" style="1084" customWidth="1"/>
    <col min="3" max="3" width="13.375" style="1084" customWidth="1"/>
    <col min="4" max="4" width="10.625" style="1084" customWidth="1"/>
    <col min="5" max="5" width="15.625" style="1084" customWidth="1"/>
    <col min="6" max="6" width="10.625" style="1084" customWidth="1"/>
    <col min="7" max="7" width="10.875" style="1084" customWidth="1"/>
    <col min="8" max="8" width="18.625" style="1084" customWidth="1"/>
    <col min="9" max="16384" width="9.125" style="1084" customWidth="1"/>
  </cols>
  <sheetData>
    <row r="1" spans="1:8" ht="12.75">
      <c r="A1" s="1624"/>
      <c r="B1" s="1624"/>
      <c r="C1" s="1083"/>
      <c r="D1" s="1083"/>
      <c r="E1" s="1083"/>
      <c r="F1" s="1083"/>
      <c r="G1" s="1083"/>
      <c r="H1" s="1083"/>
    </row>
    <row r="2" spans="1:8" ht="12.75">
      <c r="A2" s="1085"/>
      <c r="B2" s="1085"/>
      <c r="C2" s="1083"/>
      <c r="D2" s="1083"/>
      <c r="E2" s="1083"/>
      <c r="F2" s="1083"/>
      <c r="G2" s="1083"/>
      <c r="H2" s="1083"/>
    </row>
    <row r="3" spans="1:8" ht="13.5">
      <c r="A3" s="1625" t="s">
        <v>1057</v>
      </c>
      <c r="B3" s="1625"/>
      <c r="C3" s="1625"/>
      <c r="D3" s="1625"/>
      <c r="E3" s="1625"/>
      <c r="F3" s="1625"/>
      <c r="G3" s="1625"/>
      <c r="H3" s="1625"/>
    </row>
    <row r="4" spans="1:8" ht="13.5">
      <c r="A4" s="1625" t="s">
        <v>960</v>
      </c>
      <c r="B4" s="1625"/>
      <c r="C4" s="1625"/>
      <c r="D4" s="1625"/>
      <c r="E4" s="1625"/>
      <c r="F4" s="1625"/>
      <c r="G4" s="1625"/>
      <c r="H4" s="1625"/>
    </row>
    <row r="5" spans="1:8" ht="13.5">
      <c r="A5" s="1086"/>
      <c r="B5" s="1087"/>
      <c r="C5" s="1087"/>
      <c r="D5" s="1087"/>
      <c r="E5" s="1087"/>
      <c r="F5" s="1087"/>
      <c r="G5" s="1087"/>
      <c r="H5" s="1087"/>
    </row>
    <row r="6" spans="1:8" ht="13.5">
      <c r="A6" s="1086"/>
      <c r="B6" s="1087"/>
      <c r="C6" s="1087"/>
      <c r="D6" s="1087"/>
      <c r="E6" s="1087"/>
      <c r="F6" s="1087"/>
      <c r="G6" s="1087"/>
      <c r="H6" s="1087"/>
    </row>
    <row r="7" spans="1:8" ht="14.25" thickBot="1">
      <c r="A7" s="1085"/>
      <c r="B7" s="1086"/>
      <c r="C7" s="1088"/>
      <c r="D7" s="1089"/>
      <c r="E7" s="1089"/>
      <c r="F7" s="1089"/>
      <c r="G7" s="1088"/>
      <c r="H7" s="1090" t="s">
        <v>538</v>
      </c>
    </row>
    <row r="8" spans="1:8" ht="51" customHeight="1">
      <c r="A8" s="1182"/>
      <c r="B8" s="1183" t="s">
        <v>873</v>
      </c>
      <c r="C8" s="1184" t="s">
        <v>1058</v>
      </c>
      <c r="D8" s="1184" t="s">
        <v>1059</v>
      </c>
      <c r="E8" s="1184" t="s">
        <v>1060</v>
      </c>
      <c r="F8" s="1184" t="s">
        <v>1061</v>
      </c>
      <c r="G8" s="1184" t="s">
        <v>1062</v>
      </c>
      <c r="H8" s="1185" t="s">
        <v>1063</v>
      </c>
    </row>
    <row r="9" spans="1:8" ht="12.75" customHeight="1">
      <c r="A9" s="1186" t="s">
        <v>1064</v>
      </c>
      <c r="B9" s="1091" t="s">
        <v>554</v>
      </c>
      <c r="C9" s="1092">
        <v>513258</v>
      </c>
      <c r="D9" s="1092">
        <v>0</v>
      </c>
      <c r="E9" s="1092">
        <v>513258</v>
      </c>
      <c r="F9" s="1092">
        <v>818601</v>
      </c>
      <c r="G9" s="1092">
        <v>0</v>
      </c>
      <c r="H9" s="1187">
        <v>818601</v>
      </c>
    </row>
    <row r="10" spans="1:8" ht="12.75" customHeight="1">
      <c r="A10" s="1186" t="s">
        <v>1065</v>
      </c>
      <c r="B10" s="1091" t="s">
        <v>1066</v>
      </c>
      <c r="C10" s="1092">
        <v>0</v>
      </c>
      <c r="D10" s="1092">
        <v>0</v>
      </c>
      <c r="E10" s="1092">
        <v>0</v>
      </c>
      <c r="F10" s="1092">
        <v>0</v>
      </c>
      <c r="G10" s="1092">
        <v>0</v>
      </c>
      <c r="H10" s="1187">
        <v>0</v>
      </c>
    </row>
    <row r="11" spans="1:8" ht="12.75" customHeight="1">
      <c r="A11" s="1186" t="s">
        <v>1067</v>
      </c>
      <c r="B11" s="1093" t="s">
        <v>1068</v>
      </c>
      <c r="C11" s="1092">
        <v>6771</v>
      </c>
      <c r="D11" s="1092">
        <v>0</v>
      </c>
      <c r="E11" s="1092">
        <v>6771</v>
      </c>
      <c r="F11" s="1092">
        <v>4773</v>
      </c>
      <c r="G11" s="1092">
        <v>0</v>
      </c>
      <c r="H11" s="1187">
        <v>4773</v>
      </c>
    </row>
    <row r="12" spans="1:8" ht="12.75" customHeight="1">
      <c r="A12" s="1186" t="s">
        <v>1069</v>
      </c>
      <c r="B12" s="1091" t="s">
        <v>1070</v>
      </c>
      <c r="C12" s="1092">
        <v>0</v>
      </c>
      <c r="D12" s="1092">
        <v>0</v>
      </c>
      <c r="E12" s="1092">
        <v>0</v>
      </c>
      <c r="F12" s="1092">
        <v>0</v>
      </c>
      <c r="G12" s="1092">
        <v>0</v>
      </c>
      <c r="H12" s="1187">
        <v>0</v>
      </c>
    </row>
    <row r="13" spans="1:8" ht="12.75" customHeight="1">
      <c r="A13" s="1186" t="s">
        <v>1071</v>
      </c>
      <c r="B13" s="1091" t="s">
        <v>1072</v>
      </c>
      <c r="C13" s="1092">
        <v>0</v>
      </c>
      <c r="D13" s="1092">
        <v>0</v>
      </c>
      <c r="E13" s="1092">
        <v>0</v>
      </c>
      <c r="F13" s="1092">
        <v>0</v>
      </c>
      <c r="G13" s="1092">
        <v>0</v>
      </c>
      <c r="H13" s="1187">
        <v>0</v>
      </c>
    </row>
    <row r="14" spans="1:8" ht="12.75" customHeight="1">
      <c r="A14" s="1186" t="s">
        <v>1073</v>
      </c>
      <c r="B14" s="1094" t="s">
        <v>1074</v>
      </c>
      <c r="C14" s="1095">
        <f>C9+C11</f>
        <v>520029</v>
      </c>
      <c r="D14" s="1095">
        <v>0</v>
      </c>
      <c r="E14" s="1095">
        <f>E9+E11</f>
        <v>520029</v>
      </c>
      <c r="F14" s="1095">
        <f>F9+F11</f>
        <v>823374</v>
      </c>
      <c r="G14" s="1095">
        <v>0</v>
      </c>
      <c r="H14" s="1188">
        <f>H9+H11</f>
        <v>823374</v>
      </c>
    </row>
    <row r="15" spans="1:8" ht="12.75" customHeight="1">
      <c r="A15" s="1186" t="s">
        <v>1075</v>
      </c>
      <c r="B15" s="1091" t="s">
        <v>1076</v>
      </c>
      <c r="C15" s="1092">
        <v>31534</v>
      </c>
      <c r="D15" s="1092">
        <v>0</v>
      </c>
      <c r="E15" s="1092">
        <v>31534</v>
      </c>
      <c r="F15" s="1092">
        <v>1913</v>
      </c>
      <c r="G15" s="1092">
        <v>0</v>
      </c>
      <c r="H15" s="1187">
        <v>1913</v>
      </c>
    </row>
    <row r="16" spans="1:8" ht="12.75" customHeight="1">
      <c r="A16" s="1186" t="s">
        <v>1077</v>
      </c>
      <c r="B16" s="1091" t="s">
        <v>1078</v>
      </c>
      <c r="C16" s="1092">
        <v>95</v>
      </c>
      <c r="D16" s="1092">
        <v>0</v>
      </c>
      <c r="E16" s="1092">
        <v>95</v>
      </c>
      <c r="F16" s="1092">
        <v>0</v>
      </c>
      <c r="G16" s="1092">
        <v>0</v>
      </c>
      <c r="H16" s="1187">
        <v>0</v>
      </c>
    </row>
    <row r="17" spans="1:8" ht="12.75" customHeight="1">
      <c r="A17" s="1189" t="s">
        <v>1079</v>
      </c>
      <c r="B17" s="1096" t="s">
        <v>1080</v>
      </c>
      <c r="C17" s="1097">
        <f>C14+C15+C16</f>
        <v>551658</v>
      </c>
      <c r="D17" s="1097">
        <v>0</v>
      </c>
      <c r="E17" s="1097">
        <f>E14+E15+E16</f>
        <v>551658</v>
      </c>
      <c r="F17" s="1097">
        <f>F14+F15</f>
        <v>825287</v>
      </c>
      <c r="G17" s="1097">
        <v>0</v>
      </c>
      <c r="H17" s="1190">
        <f>H14+H15</f>
        <v>825287</v>
      </c>
    </row>
    <row r="18" spans="1:8" ht="12.75">
      <c r="A18" s="1186" t="s">
        <v>1081</v>
      </c>
      <c r="B18" s="1093" t="s">
        <v>1082</v>
      </c>
      <c r="C18" s="1092">
        <v>0</v>
      </c>
      <c r="D18" s="1092">
        <v>0</v>
      </c>
      <c r="E18" s="1092">
        <v>0</v>
      </c>
      <c r="F18" s="1092">
        <v>0</v>
      </c>
      <c r="G18" s="1092">
        <v>0</v>
      </c>
      <c r="H18" s="1187">
        <v>0</v>
      </c>
    </row>
    <row r="19" spans="1:8" ht="12.75">
      <c r="A19" s="1186" t="s">
        <v>1083</v>
      </c>
      <c r="B19" s="1093" t="s">
        <v>1084</v>
      </c>
      <c r="C19" s="1092">
        <v>0</v>
      </c>
      <c r="D19" s="1092">
        <v>0</v>
      </c>
      <c r="E19" s="1092">
        <v>0</v>
      </c>
      <c r="F19" s="1092">
        <v>0</v>
      </c>
      <c r="G19" s="1092">
        <v>0</v>
      </c>
      <c r="H19" s="1187">
        <v>0</v>
      </c>
    </row>
    <row r="20" spans="1:8" ht="12.75">
      <c r="A20" s="1186" t="s">
        <v>1085</v>
      </c>
      <c r="B20" s="1098" t="s">
        <v>1086</v>
      </c>
      <c r="C20" s="1097">
        <f>C17</f>
        <v>551658</v>
      </c>
      <c r="D20" s="1097">
        <v>0</v>
      </c>
      <c r="E20" s="1097">
        <f>E17</f>
        <v>551658</v>
      </c>
      <c r="F20" s="1097">
        <f>F17</f>
        <v>825287</v>
      </c>
      <c r="G20" s="1097">
        <v>0</v>
      </c>
      <c r="H20" s="1190">
        <f>H17</f>
        <v>825287</v>
      </c>
    </row>
    <row r="21" spans="1:8" ht="12.75">
      <c r="A21" s="1186" t="s">
        <v>1087</v>
      </c>
      <c r="B21" s="1093" t="s">
        <v>1088</v>
      </c>
      <c r="C21" s="1092">
        <v>48289</v>
      </c>
      <c r="D21" s="1092">
        <v>0</v>
      </c>
      <c r="E21" s="1092">
        <v>48289</v>
      </c>
      <c r="F21" s="1092">
        <v>0</v>
      </c>
      <c r="G21" s="1092">
        <v>0</v>
      </c>
      <c r="H21" s="1187">
        <v>0</v>
      </c>
    </row>
    <row r="22" spans="1:8" ht="12.75" customHeight="1">
      <c r="A22" s="1191" t="s">
        <v>1089</v>
      </c>
      <c r="B22" s="1099" t="s">
        <v>1090</v>
      </c>
      <c r="C22" s="1100">
        <v>431626</v>
      </c>
      <c r="D22" s="1100">
        <v>0</v>
      </c>
      <c r="E22" s="1100">
        <v>431626</v>
      </c>
      <c r="F22" s="1100">
        <v>546032</v>
      </c>
      <c r="G22" s="1100">
        <v>0</v>
      </c>
      <c r="H22" s="1192">
        <v>546032</v>
      </c>
    </row>
    <row r="23" spans="1:8" ht="13.5" customHeight="1" thickBot="1">
      <c r="A23" s="1193" t="s">
        <v>1091</v>
      </c>
      <c r="B23" s="1194" t="s">
        <v>1092</v>
      </c>
      <c r="C23" s="1195">
        <v>71743</v>
      </c>
      <c r="D23" s="1195">
        <v>0</v>
      </c>
      <c r="E23" s="1195">
        <v>71743</v>
      </c>
      <c r="F23" s="1195">
        <v>279255</v>
      </c>
      <c r="G23" s="1195">
        <v>0</v>
      </c>
      <c r="H23" s="1196">
        <v>279255</v>
      </c>
    </row>
  </sheetData>
  <mergeCells count="3">
    <mergeCell ref="A1:B1"/>
    <mergeCell ref="A3:H3"/>
    <mergeCell ref="A4:H4"/>
  </mergeCells>
  <printOptions/>
  <pageMargins left="0.7479166666666667" right="0.7479166666666667" top="0.8465277777777778" bottom="0.9840277777777777" header="0.5118055555555555" footer="0.5118055555555555"/>
  <pageSetup horizontalDpi="300" verticalDpi="300" orientation="landscape" paperSize="9" scale="83" r:id="rId1"/>
  <headerFooter alignWithMargins="0">
    <oddHeader>&amp;L22. melléklet a 14/2013. (V.2.) önkormnyzati rendelethez
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H23"/>
  <sheetViews>
    <sheetView view="pageBreakPreview" zoomScaleSheetLayoutView="100" workbookViewId="0" topLeftCell="A1">
      <selection activeCell="B14" sqref="B14"/>
    </sheetView>
  </sheetViews>
  <sheetFormatPr defaultColWidth="9.00390625" defaultRowHeight="12.75"/>
  <cols>
    <col min="1" max="1" width="7.00390625" style="717" customWidth="1"/>
    <col min="2" max="2" width="51.125" style="717" customWidth="1"/>
    <col min="3" max="3" width="12.25390625" style="717" customWidth="1"/>
    <col min="4" max="4" width="10.375" style="717" customWidth="1"/>
    <col min="5" max="5" width="15.625" style="717" customWidth="1"/>
    <col min="6" max="6" width="14.25390625" style="717" customWidth="1"/>
    <col min="7" max="7" width="12.125" style="717" customWidth="1"/>
    <col min="8" max="8" width="18.625" style="717" customWidth="1"/>
    <col min="9" max="16384" width="9.125" style="717" customWidth="1"/>
  </cols>
  <sheetData>
    <row r="1" spans="1:8" ht="12.75">
      <c r="A1" s="1626"/>
      <c r="B1" s="1627"/>
      <c r="C1" s="1102"/>
      <c r="D1" s="1102"/>
      <c r="E1" s="1102"/>
      <c r="F1" s="1102"/>
      <c r="G1" s="1102"/>
      <c r="H1" s="1102"/>
    </row>
    <row r="2" spans="1:8" ht="12.75">
      <c r="A2" s="718"/>
      <c r="B2" s="718"/>
      <c r="C2" s="1102"/>
      <c r="D2" s="1102"/>
      <c r="E2" s="1102"/>
      <c r="F2" s="1102"/>
      <c r="G2" s="1102"/>
      <c r="H2" s="1102"/>
    </row>
    <row r="3" spans="1:8" ht="13.5">
      <c r="A3" s="1617" t="s">
        <v>939</v>
      </c>
      <c r="B3" s="1627"/>
      <c r="C3" s="1627"/>
      <c r="D3" s="1627"/>
      <c r="E3" s="1627"/>
      <c r="F3" s="1627"/>
      <c r="G3" s="1627"/>
      <c r="H3" s="1627"/>
    </row>
    <row r="4" spans="1:8" ht="13.5">
      <c r="A4" s="1617" t="s">
        <v>960</v>
      </c>
      <c r="B4" s="1627"/>
      <c r="C4" s="1627"/>
      <c r="D4" s="1627"/>
      <c r="E4" s="1627"/>
      <c r="F4" s="1627"/>
      <c r="G4" s="1627"/>
      <c r="H4" s="1627"/>
    </row>
    <row r="5" spans="1:8" ht="13.5">
      <c r="A5" s="1066"/>
      <c r="B5" s="1101"/>
      <c r="C5" s="1101"/>
      <c r="D5" s="1101"/>
      <c r="E5" s="1101"/>
      <c r="F5" s="1101"/>
      <c r="G5" s="1101"/>
      <c r="H5" s="1101"/>
    </row>
    <row r="6" spans="1:8" ht="13.5">
      <c r="A6" s="1066"/>
      <c r="B6" s="1101"/>
      <c r="C6" s="1101"/>
      <c r="D6" s="1101"/>
      <c r="E6" s="1101"/>
      <c r="F6" s="1101"/>
      <c r="G6" s="1101"/>
      <c r="H6" s="1101"/>
    </row>
    <row r="7" spans="1:8" ht="14.25" thickBot="1">
      <c r="A7" s="718"/>
      <c r="B7" s="1103"/>
      <c r="C7" s="1104"/>
      <c r="D7" s="719"/>
      <c r="E7" s="719"/>
      <c r="F7" s="719"/>
      <c r="G7" s="1104"/>
      <c r="H7" s="1105" t="s">
        <v>538</v>
      </c>
    </row>
    <row r="8" spans="1:8" ht="51.75" customHeight="1">
      <c r="A8" s="1177"/>
      <c r="B8" s="1111" t="s">
        <v>873</v>
      </c>
      <c r="C8" s="1112" t="s">
        <v>940</v>
      </c>
      <c r="D8" s="1112" t="s">
        <v>1059</v>
      </c>
      <c r="E8" s="1112" t="s">
        <v>941</v>
      </c>
      <c r="F8" s="1112" t="s">
        <v>942</v>
      </c>
      <c r="G8" s="1112" t="s">
        <v>1062</v>
      </c>
      <c r="H8" s="1113" t="s">
        <v>1063</v>
      </c>
    </row>
    <row r="9" spans="1:8" ht="12.75" customHeight="1">
      <c r="A9" s="1178" t="s">
        <v>1064</v>
      </c>
      <c r="B9" s="1114" t="s">
        <v>943</v>
      </c>
      <c r="C9" s="1106">
        <v>0</v>
      </c>
      <c r="D9" s="1107">
        <v>0</v>
      </c>
      <c r="E9" s="1106">
        <v>0</v>
      </c>
      <c r="F9" s="1107">
        <v>0</v>
      </c>
      <c r="G9" s="1107">
        <v>0</v>
      </c>
      <c r="H9" s="1115">
        <v>0</v>
      </c>
    </row>
    <row r="10" spans="1:8" ht="12.75" customHeight="1">
      <c r="A10" s="1178" t="s">
        <v>1065</v>
      </c>
      <c r="B10" s="1114" t="s">
        <v>944</v>
      </c>
      <c r="C10" s="1106">
        <v>0</v>
      </c>
      <c r="D10" s="1107">
        <v>0</v>
      </c>
      <c r="E10" s="1106">
        <v>0</v>
      </c>
      <c r="F10" s="1107">
        <v>0</v>
      </c>
      <c r="G10" s="1107">
        <v>0</v>
      </c>
      <c r="H10" s="1115">
        <v>0</v>
      </c>
    </row>
    <row r="11" spans="1:8" ht="12.75" customHeight="1">
      <c r="A11" s="1178" t="s">
        <v>1067</v>
      </c>
      <c r="B11" s="1116" t="s">
        <v>945</v>
      </c>
      <c r="C11" s="1106">
        <v>0</v>
      </c>
      <c r="D11" s="1107">
        <v>0</v>
      </c>
      <c r="E11" s="1106">
        <v>0</v>
      </c>
      <c r="F11" s="1107">
        <v>0</v>
      </c>
      <c r="G11" s="1107">
        <v>0</v>
      </c>
      <c r="H11" s="1115">
        <v>0</v>
      </c>
    </row>
    <row r="12" spans="1:8" ht="12.75" customHeight="1">
      <c r="A12" s="1179" t="s">
        <v>1069</v>
      </c>
      <c r="B12" s="1117" t="s">
        <v>946</v>
      </c>
      <c r="C12" s="1108">
        <f aca="true" t="shared" si="0" ref="C12:H12">SUM(C9:C11)</f>
        <v>0</v>
      </c>
      <c r="D12" s="1108">
        <f t="shared" si="0"/>
        <v>0</v>
      </c>
      <c r="E12" s="1108">
        <f t="shared" si="0"/>
        <v>0</v>
      </c>
      <c r="F12" s="1108">
        <f t="shared" si="0"/>
        <v>0</v>
      </c>
      <c r="G12" s="1108">
        <f t="shared" si="0"/>
        <v>0</v>
      </c>
      <c r="H12" s="1118">
        <f t="shared" si="0"/>
        <v>0</v>
      </c>
    </row>
    <row r="13" spans="1:8" ht="12.75" customHeight="1">
      <c r="A13" s="1178" t="s">
        <v>1071</v>
      </c>
      <c r="B13" s="1119" t="s">
        <v>947</v>
      </c>
      <c r="C13" s="1106">
        <v>0</v>
      </c>
      <c r="D13" s="1107">
        <v>0</v>
      </c>
      <c r="E13" s="1107">
        <v>0</v>
      </c>
      <c r="F13" s="1107">
        <v>0</v>
      </c>
      <c r="G13" s="1107">
        <v>0</v>
      </c>
      <c r="H13" s="1115">
        <v>0</v>
      </c>
    </row>
    <row r="14" spans="1:8" ht="12.75" customHeight="1">
      <c r="A14" s="1178" t="s">
        <v>1073</v>
      </c>
      <c r="B14" s="1120" t="s">
        <v>948</v>
      </c>
      <c r="C14" s="1106">
        <v>0</v>
      </c>
      <c r="D14" s="1107">
        <f>SUM(D9+D10+D11-D12-D13)</f>
        <v>0</v>
      </c>
      <c r="E14" s="1107">
        <f>SUM(E9+E10+E11-E12-E13)</f>
        <v>0</v>
      </c>
      <c r="F14" s="1107">
        <f>SUM(F9+F10+F11-F12-F13)</f>
        <v>0</v>
      </c>
      <c r="G14" s="1107">
        <f>SUM(G9+G10+G11-G12-G13)</f>
        <v>0</v>
      </c>
      <c r="H14" s="1115">
        <f>SUM(H9+H10+H11-H12-H13)</f>
        <v>0</v>
      </c>
    </row>
    <row r="15" spans="1:8" ht="12.75" customHeight="1">
      <c r="A15" s="1178" t="s">
        <v>1075</v>
      </c>
      <c r="B15" s="1119" t="s">
        <v>949</v>
      </c>
      <c r="C15" s="1106">
        <v>0</v>
      </c>
      <c r="D15" s="1107">
        <v>0</v>
      </c>
      <c r="E15" s="1107">
        <v>0</v>
      </c>
      <c r="F15" s="1107">
        <v>0</v>
      </c>
      <c r="G15" s="1107">
        <v>0</v>
      </c>
      <c r="H15" s="1115">
        <v>0</v>
      </c>
    </row>
    <row r="16" spans="1:8" ht="12.75" customHeight="1">
      <c r="A16" s="1179" t="s">
        <v>1077</v>
      </c>
      <c r="B16" s="1117" t="s">
        <v>950</v>
      </c>
      <c r="C16" s="1108">
        <f aca="true" t="shared" si="1" ref="C16:H16">SUM(C13:C15)</f>
        <v>0</v>
      </c>
      <c r="D16" s="1108">
        <f t="shared" si="1"/>
        <v>0</v>
      </c>
      <c r="E16" s="1108">
        <f t="shared" si="1"/>
        <v>0</v>
      </c>
      <c r="F16" s="1108">
        <f t="shared" si="1"/>
        <v>0</v>
      </c>
      <c r="G16" s="1108">
        <f t="shared" si="1"/>
        <v>0</v>
      </c>
      <c r="H16" s="1118">
        <f t="shared" si="1"/>
        <v>0</v>
      </c>
    </row>
    <row r="17" spans="1:8" s="1109" customFormat="1" ht="12.75" customHeight="1">
      <c r="A17" s="1179" t="s">
        <v>1079</v>
      </c>
      <c r="B17" s="1121" t="s">
        <v>951</v>
      </c>
      <c r="C17" s="1108">
        <f aca="true" t="shared" si="2" ref="C17:H17">SUM(C12-C16)</f>
        <v>0</v>
      </c>
      <c r="D17" s="1108">
        <f t="shared" si="2"/>
        <v>0</v>
      </c>
      <c r="E17" s="1108">
        <f t="shared" si="2"/>
        <v>0</v>
      </c>
      <c r="F17" s="1108">
        <f t="shared" si="2"/>
        <v>0</v>
      </c>
      <c r="G17" s="1108">
        <f t="shared" si="2"/>
        <v>0</v>
      </c>
      <c r="H17" s="1118">
        <f t="shared" si="2"/>
        <v>0</v>
      </c>
    </row>
    <row r="18" spans="1:8" ht="12.75">
      <c r="A18" s="1178" t="s">
        <v>1081</v>
      </c>
      <c r="B18" s="1116" t="s">
        <v>952</v>
      </c>
      <c r="C18" s="1106">
        <v>0</v>
      </c>
      <c r="D18" s="1107">
        <v>0</v>
      </c>
      <c r="E18" s="1107">
        <v>0</v>
      </c>
      <c r="F18" s="1107">
        <v>0</v>
      </c>
      <c r="G18" s="1107">
        <v>0</v>
      </c>
      <c r="H18" s="1115">
        <v>0</v>
      </c>
    </row>
    <row r="19" spans="1:8" ht="12.75">
      <c r="A19" s="1178" t="s">
        <v>1083</v>
      </c>
      <c r="B19" s="1116" t="s">
        <v>953</v>
      </c>
      <c r="C19" s="1106">
        <v>0</v>
      </c>
      <c r="D19" s="1107">
        <v>0</v>
      </c>
      <c r="E19" s="1107">
        <v>0</v>
      </c>
      <c r="F19" s="1107">
        <v>0</v>
      </c>
      <c r="G19" s="1107">
        <v>0</v>
      </c>
      <c r="H19" s="1115">
        <v>0</v>
      </c>
    </row>
    <row r="20" spans="1:8" ht="15" customHeight="1">
      <c r="A20" s="1178" t="s">
        <v>1085</v>
      </c>
      <c r="B20" s="1122" t="s">
        <v>954</v>
      </c>
      <c r="C20" s="1106">
        <v>0</v>
      </c>
      <c r="D20" s="1106">
        <v>0</v>
      </c>
      <c r="E20" s="1106">
        <v>0</v>
      </c>
      <c r="F20" s="1106">
        <v>0</v>
      </c>
      <c r="G20" s="1106">
        <v>0</v>
      </c>
      <c r="H20" s="1123">
        <v>0</v>
      </c>
    </row>
    <row r="21" spans="1:8" s="1109" customFormat="1" ht="12.75" customHeight="1">
      <c r="A21" s="1179" t="s">
        <v>1087</v>
      </c>
      <c r="B21" s="1121" t="s">
        <v>955</v>
      </c>
      <c r="C21" s="1108">
        <f aca="true" t="shared" si="3" ref="C21:H21">SUM(C17-C15-C16+C20)</f>
        <v>0</v>
      </c>
      <c r="D21" s="1108">
        <f t="shared" si="3"/>
        <v>0</v>
      </c>
      <c r="E21" s="1108">
        <f t="shared" si="3"/>
        <v>0</v>
      </c>
      <c r="F21" s="1108">
        <f t="shared" si="3"/>
        <v>0</v>
      </c>
      <c r="G21" s="1108">
        <f t="shared" si="3"/>
        <v>0</v>
      </c>
      <c r="H21" s="1118">
        <f t="shared" si="3"/>
        <v>0</v>
      </c>
    </row>
    <row r="22" spans="1:8" ht="12.75" customHeight="1">
      <c r="A22" s="1180">
        <v>14</v>
      </c>
      <c r="B22" s="1124" t="s">
        <v>956</v>
      </c>
      <c r="C22" s="1110">
        <v>0</v>
      </c>
      <c r="D22" s="720">
        <v>0</v>
      </c>
      <c r="E22" s="1110">
        <v>0</v>
      </c>
      <c r="F22" s="720">
        <v>0</v>
      </c>
      <c r="G22" s="720">
        <v>0</v>
      </c>
      <c r="H22" s="1125">
        <v>0</v>
      </c>
    </row>
    <row r="23" spans="1:8" ht="13.5" customHeight="1" thickBot="1">
      <c r="A23" s="1181">
        <v>15</v>
      </c>
      <c r="B23" s="1126" t="s">
        <v>957</v>
      </c>
      <c r="C23" s="1127">
        <f aca="true" t="shared" si="4" ref="C23:H23">SUM(C17-C19-C20-C22)</f>
        <v>0</v>
      </c>
      <c r="D23" s="1127">
        <f t="shared" si="4"/>
        <v>0</v>
      </c>
      <c r="E23" s="1127">
        <f t="shared" si="4"/>
        <v>0</v>
      </c>
      <c r="F23" s="1127">
        <f t="shared" si="4"/>
        <v>0</v>
      </c>
      <c r="G23" s="1127">
        <f t="shared" si="4"/>
        <v>0</v>
      </c>
      <c r="H23" s="1128">
        <f t="shared" si="4"/>
        <v>0</v>
      </c>
    </row>
  </sheetData>
  <mergeCells count="3">
    <mergeCell ref="A1:B1"/>
    <mergeCell ref="A3:H3"/>
    <mergeCell ref="A4:H4"/>
  </mergeCells>
  <printOptions/>
  <pageMargins left="0.75" right="0.75" top="1" bottom="1" header="0.5" footer="0.5"/>
  <pageSetup horizontalDpi="600" verticalDpi="600" orientation="landscape" paperSize="9" scale="91" r:id="rId1"/>
  <headerFooter alignWithMargins="0">
    <oddHeader>&amp;L23.melléklet a 14/2013.(V.2.)önkormányzati rendelethez
</oddHeader>
  </headerFooter>
  <rowBreaks count="1" manualBreakCount="1">
    <brk id="26" max="255" man="1"/>
  </rowBreaks>
</worksheet>
</file>

<file path=xl/worksheets/sheet27.xml><?xml version="1.0" encoding="utf-8"?>
<worksheet xmlns="http://schemas.openxmlformats.org/spreadsheetml/2006/main" xmlns:r="http://schemas.openxmlformats.org/officeDocument/2006/relationships">
  <dimension ref="A3:G42"/>
  <sheetViews>
    <sheetView view="pageBreakPreview" zoomScaleSheetLayoutView="100" workbookViewId="0" topLeftCell="A22">
      <selection activeCell="A3" sqref="A3:F3"/>
    </sheetView>
  </sheetViews>
  <sheetFormatPr defaultColWidth="9.00390625" defaultRowHeight="12.75"/>
  <cols>
    <col min="1" max="1" width="50.25390625" style="313" customWidth="1"/>
    <col min="2" max="2" width="13.375" style="313" customWidth="1"/>
    <col min="3" max="3" width="19.125" style="313" customWidth="1"/>
    <col min="4" max="4" width="13.125" style="313" customWidth="1"/>
    <col min="5" max="5" width="16.125" style="313" customWidth="1"/>
    <col min="6" max="6" width="11.00390625" style="313" customWidth="1"/>
    <col min="7" max="16384" width="9.125" style="313" customWidth="1"/>
  </cols>
  <sheetData>
    <row r="3" spans="1:7" s="295" customFormat="1" ht="12.75">
      <c r="A3" s="1628" t="s">
        <v>390</v>
      </c>
      <c r="B3" s="1628"/>
      <c r="C3" s="1628"/>
      <c r="D3" s="1628"/>
      <c r="E3" s="1628"/>
      <c r="F3" s="1628"/>
      <c r="G3" s="294"/>
    </row>
    <row r="4" spans="1:7" s="295" customFormat="1" ht="12.75">
      <c r="A4" s="294"/>
      <c r="B4" s="294"/>
      <c r="C4" s="294"/>
      <c r="D4" s="294"/>
      <c r="E4" s="294"/>
      <c r="F4" s="294"/>
      <c r="G4" s="294"/>
    </row>
    <row r="5" spans="1:7" s="295" customFormat="1" ht="12.75">
      <c r="A5" s="294"/>
      <c r="B5" s="294"/>
      <c r="C5" s="294"/>
      <c r="D5" s="294"/>
      <c r="E5" s="294"/>
      <c r="F5" s="294"/>
      <c r="G5" s="294"/>
    </row>
    <row r="6" s="295" customFormat="1" ht="12.75"/>
    <row r="7" spans="1:6" s="295" customFormat="1" ht="84" customHeight="1">
      <c r="A7" s="296" t="s">
        <v>873</v>
      </c>
      <c r="B7" s="296" t="s">
        <v>874</v>
      </c>
      <c r="C7" s="296" t="s">
        <v>875</v>
      </c>
      <c r="D7" s="297" t="s">
        <v>876</v>
      </c>
      <c r="E7" s="297" t="s">
        <v>877</v>
      </c>
      <c r="F7" s="297" t="s">
        <v>756</v>
      </c>
    </row>
    <row r="8" spans="1:6" s="295" customFormat="1" ht="25.5">
      <c r="A8" s="298" t="s">
        <v>878</v>
      </c>
      <c r="B8" s="299">
        <v>804105</v>
      </c>
      <c r="C8" s="299">
        <v>290</v>
      </c>
      <c r="D8" s="300">
        <v>4793</v>
      </c>
      <c r="E8" s="300">
        <v>9149</v>
      </c>
      <c r="F8" s="300">
        <f aca="true" t="shared" si="0" ref="F8:F19">SUM(B8:E8)</f>
        <v>818337</v>
      </c>
    </row>
    <row r="9" spans="1:6" s="295" customFormat="1" ht="18.75" customHeight="1">
      <c r="A9" s="301" t="s">
        <v>879</v>
      </c>
      <c r="B9" s="302">
        <v>194</v>
      </c>
      <c r="C9" s="302">
        <v>0</v>
      </c>
      <c r="D9" s="302">
        <v>70</v>
      </c>
      <c r="E9" s="302">
        <v>0</v>
      </c>
      <c r="F9" s="300">
        <f t="shared" si="0"/>
        <v>264</v>
      </c>
    </row>
    <row r="10" spans="1:6" s="295" customFormat="1" ht="18" customHeight="1">
      <c r="A10" s="303" t="s">
        <v>554</v>
      </c>
      <c r="B10" s="304">
        <v>804299</v>
      </c>
      <c r="C10" s="304">
        <v>290</v>
      </c>
      <c r="D10" s="304">
        <f>SUM(D8:D9)</f>
        <v>4863</v>
      </c>
      <c r="E10" s="304">
        <v>9149</v>
      </c>
      <c r="F10" s="305">
        <f t="shared" si="0"/>
        <v>818601</v>
      </c>
    </row>
    <row r="11" spans="1:6" s="295" customFormat="1" ht="18" customHeight="1">
      <c r="A11" s="298" t="s">
        <v>880</v>
      </c>
      <c r="B11" s="299">
        <v>33058</v>
      </c>
      <c r="C11" s="299">
        <v>0</v>
      </c>
      <c r="D11" s="300">
        <v>459</v>
      </c>
      <c r="E11" s="300">
        <v>0</v>
      </c>
      <c r="F11" s="300">
        <f t="shared" si="0"/>
        <v>33517</v>
      </c>
    </row>
    <row r="12" spans="1:6" s="295" customFormat="1" ht="18" customHeight="1">
      <c r="A12" s="298" t="s">
        <v>881</v>
      </c>
      <c r="B12" s="299">
        <v>5969</v>
      </c>
      <c r="C12" s="299">
        <v>91</v>
      </c>
      <c r="D12" s="300">
        <v>11918</v>
      </c>
      <c r="E12" s="300">
        <v>2379</v>
      </c>
      <c r="F12" s="300">
        <f t="shared" si="0"/>
        <v>20357</v>
      </c>
    </row>
    <row r="13" spans="1:6" s="295" customFormat="1" ht="18.75" customHeight="1">
      <c r="A13" s="298" t="s">
        <v>882</v>
      </c>
      <c r="B13" s="299">
        <v>702</v>
      </c>
      <c r="C13" s="299">
        <v>0</v>
      </c>
      <c r="D13" s="302">
        <v>0</v>
      </c>
      <c r="E13" s="302">
        <v>0</v>
      </c>
      <c r="F13" s="300">
        <f t="shared" si="0"/>
        <v>702</v>
      </c>
    </row>
    <row r="14" spans="1:6" s="295" customFormat="1" ht="18" customHeight="1">
      <c r="A14" s="306" t="s">
        <v>883</v>
      </c>
      <c r="B14" s="307">
        <v>39729</v>
      </c>
      <c r="C14" s="307">
        <v>91</v>
      </c>
      <c r="D14" s="307">
        <v>12377</v>
      </c>
      <c r="E14" s="307">
        <v>2379</v>
      </c>
      <c r="F14" s="308">
        <f t="shared" si="0"/>
        <v>54576</v>
      </c>
    </row>
    <row r="15" spans="1:6" s="295" customFormat="1" ht="18" customHeight="1">
      <c r="A15" s="298" t="s">
        <v>884</v>
      </c>
      <c r="B15" s="299">
        <v>8201</v>
      </c>
      <c r="C15" s="299">
        <v>0</v>
      </c>
      <c r="D15" s="300">
        <v>291</v>
      </c>
      <c r="E15" s="300">
        <v>0</v>
      </c>
      <c r="F15" s="300">
        <f t="shared" si="0"/>
        <v>8492</v>
      </c>
    </row>
    <row r="16" spans="1:6" s="295" customFormat="1" ht="17.25" customHeight="1">
      <c r="A16" s="298" t="s">
        <v>885</v>
      </c>
      <c r="B16" s="299">
        <v>41298</v>
      </c>
      <c r="C16" s="299">
        <v>0</v>
      </c>
      <c r="D16" s="300">
        <v>0</v>
      </c>
      <c r="E16" s="300">
        <v>0</v>
      </c>
      <c r="F16" s="300">
        <f t="shared" si="0"/>
        <v>41298</v>
      </c>
    </row>
    <row r="17" spans="1:6" s="295" customFormat="1" ht="18" customHeight="1">
      <c r="A17" s="309" t="s">
        <v>886</v>
      </c>
      <c r="B17" s="310">
        <v>49499</v>
      </c>
      <c r="C17" s="310">
        <v>0</v>
      </c>
      <c r="D17" s="308">
        <v>291</v>
      </c>
      <c r="E17" s="308">
        <v>0</v>
      </c>
      <c r="F17" s="308">
        <f t="shared" si="0"/>
        <v>49790</v>
      </c>
    </row>
    <row r="18" spans="1:6" s="295" customFormat="1" ht="18" customHeight="1">
      <c r="A18" s="311" t="s">
        <v>887</v>
      </c>
      <c r="B18" s="312">
        <v>-9770</v>
      </c>
      <c r="C18" s="312">
        <v>91</v>
      </c>
      <c r="D18" s="305">
        <v>12086</v>
      </c>
      <c r="E18" s="305">
        <v>2366</v>
      </c>
      <c r="F18" s="305">
        <f t="shared" si="0"/>
        <v>4773</v>
      </c>
    </row>
    <row r="19" spans="1:6" s="295" customFormat="1" ht="18" customHeight="1">
      <c r="A19" s="303" t="s">
        <v>888</v>
      </c>
      <c r="B19" s="304">
        <v>794529</v>
      </c>
      <c r="C19" s="304">
        <v>381</v>
      </c>
      <c r="D19" s="304">
        <v>16949</v>
      </c>
      <c r="E19" s="304">
        <v>11515</v>
      </c>
      <c r="F19" s="305">
        <f t="shared" si="0"/>
        <v>823374</v>
      </c>
    </row>
    <row r="20" spans="1:6" s="295" customFormat="1" ht="18" customHeight="1">
      <c r="A20" s="301" t="s">
        <v>55</v>
      </c>
      <c r="B20" s="302">
        <v>-6376</v>
      </c>
      <c r="C20" s="304"/>
      <c r="D20" s="304"/>
      <c r="E20" s="304"/>
      <c r="F20" s="300">
        <v>-6376</v>
      </c>
    </row>
    <row r="21" spans="1:6" s="295" customFormat="1" ht="18" customHeight="1">
      <c r="A21" s="298" t="s">
        <v>889</v>
      </c>
      <c r="B21" s="299">
        <v>-38639</v>
      </c>
      <c r="C21" s="299">
        <v>1619</v>
      </c>
      <c r="D21" s="300">
        <v>20934</v>
      </c>
      <c r="E21" s="300">
        <v>16086</v>
      </c>
      <c r="F21" s="300">
        <v>0</v>
      </c>
    </row>
    <row r="22" spans="1:6" s="295" customFormat="1" ht="18" customHeight="1">
      <c r="A22" s="298" t="s">
        <v>890</v>
      </c>
      <c r="B22" s="299">
        <v>8289</v>
      </c>
      <c r="C22" s="299"/>
      <c r="D22" s="299">
        <v>0</v>
      </c>
      <c r="E22" s="299">
        <v>0</v>
      </c>
      <c r="F22" s="300">
        <f aca="true" t="shared" si="1" ref="F22:F29">SUM(B22:E22)</f>
        <v>8289</v>
      </c>
    </row>
    <row r="23" spans="1:6" s="295" customFormat="1" ht="18.75" customHeight="1">
      <c r="A23" s="303" t="s">
        <v>891</v>
      </c>
      <c r="B23" s="304">
        <f>SUM(B20:B22)</f>
        <v>-36726</v>
      </c>
      <c r="C23" s="304">
        <v>1619</v>
      </c>
      <c r="D23" s="304">
        <v>20934</v>
      </c>
      <c r="E23" s="304">
        <v>16086</v>
      </c>
      <c r="F23" s="305">
        <f t="shared" si="1"/>
        <v>1913</v>
      </c>
    </row>
    <row r="24" spans="1:6" s="295" customFormat="1" ht="17.25" customHeight="1">
      <c r="A24" s="303" t="s">
        <v>892</v>
      </c>
      <c r="B24" s="304">
        <f>SUM(B19+B23)</f>
        <v>757803</v>
      </c>
      <c r="C24" s="304">
        <v>2000</v>
      </c>
      <c r="D24" s="304">
        <v>37883</v>
      </c>
      <c r="E24" s="304">
        <v>27601</v>
      </c>
      <c r="F24" s="305">
        <f t="shared" si="1"/>
        <v>825287</v>
      </c>
    </row>
    <row r="25" spans="1:6" s="295" customFormat="1" ht="18" customHeight="1">
      <c r="A25" s="303" t="s">
        <v>893</v>
      </c>
      <c r="B25" s="304">
        <v>757803</v>
      </c>
      <c r="C25" s="304">
        <v>2000</v>
      </c>
      <c r="D25" s="304">
        <v>37883</v>
      </c>
      <c r="E25" s="304">
        <v>27601</v>
      </c>
      <c r="F25" s="305">
        <f t="shared" si="1"/>
        <v>825287</v>
      </c>
    </row>
    <row r="26" spans="1:6" s="295" customFormat="1" ht="18" customHeight="1">
      <c r="A26" s="301" t="s">
        <v>894</v>
      </c>
      <c r="B26" s="302">
        <v>512497</v>
      </c>
      <c r="C26" s="302">
        <v>0</v>
      </c>
      <c r="D26" s="302">
        <v>5934</v>
      </c>
      <c r="E26" s="302">
        <v>27601</v>
      </c>
      <c r="F26" s="300">
        <f t="shared" si="1"/>
        <v>546032</v>
      </c>
    </row>
    <row r="27" spans="1:6" s="295" customFormat="1" ht="18" customHeight="1">
      <c r="A27" s="298" t="s">
        <v>912</v>
      </c>
      <c r="B27" s="299">
        <v>97341</v>
      </c>
      <c r="C27" s="299"/>
      <c r="D27" s="300">
        <v>5934</v>
      </c>
      <c r="E27" s="300">
        <v>27601</v>
      </c>
      <c r="F27" s="300">
        <f t="shared" si="1"/>
        <v>130876</v>
      </c>
    </row>
    <row r="28" spans="1:6" s="295" customFormat="1" ht="18" customHeight="1">
      <c r="A28" s="298" t="s">
        <v>913</v>
      </c>
      <c r="B28" s="299">
        <v>415156</v>
      </c>
      <c r="C28" s="299"/>
      <c r="D28" s="302">
        <v>0</v>
      </c>
      <c r="E28" s="302">
        <v>0</v>
      </c>
      <c r="F28" s="300">
        <f t="shared" si="1"/>
        <v>415156</v>
      </c>
    </row>
    <row r="29" spans="1:6" s="295" customFormat="1" ht="12.75">
      <c r="A29" s="301" t="s">
        <v>914</v>
      </c>
      <c r="B29" s="302">
        <f>SUM(B25-B26)</f>
        <v>245306</v>
      </c>
      <c r="C29" s="302">
        <v>2000</v>
      </c>
      <c r="D29" s="302">
        <v>31949</v>
      </c>
      <c r="E29" s="302">
        <v>0</v>
      </c>
      <c r="F29" s="300">
        <f t="shared" si="1"/>
        <v>279255</v>
      </c>
    </row>
    <row r="31" spans="1:6" ht="12.75">
      <c r="A31" s="1629" t="s">
        <v>915</v>
      </c>
      <c r="B31" s="1629"/>
      <c r="C31" s="1629"/>
      <c r="D31" s="1629"/>
      <c r="E31" s="1629"/>
      <c r="F31" s="1629"/>
    </row>
    <row r="32" spans="1:4" ht="12.75">
      <c r="A32" s="313" t="s">
        <v>916</v>
      </c>
      <c r="B32" s="314"/>
      <c r="C32" s="314"/>
      <c r="D32" s="314">
        <v>250</v>
      </c>
    </row>
    <row r="33" spans="1:4" ht="12.75">
      <c r="A33" s="313" t="s">
        <v>917</v>
      </c>
      <c r="B33" s="314"/>
      <c r="C33" s="314"/>
      <c r="D33" s="314">
        <v>500</v>
      </c>
    </row>
    <row r="34" spans="1:4" ht="12.75">
      <c r="A34" s="313" t="s">
        <v>918</v>
      </c>
      <c r="B34" s="314"/>
      <c r="C34" s="314"/>
      <c r="D34" s="314">
        <v>3100</v>
      </c>
    </row>
    <row r="35" spans="1:4" ht="12.75">
      <c r="A35" s="313" t="s">
        <v>919</v>
      </c>
      <c r="B35" s="314"/>
      <c r="C35" s="314"/>
      <c r="D35" s="314">
        <v>1750</v>
      </c>
    </row>
    <row r="36" spans="1:4" ht="12.75">
      <c r="A36" s="313" t="s">
        <v>920</v>
      </c>
      <c r="B36" s="314"/>
      <c r="C36" s="314"/>
      <c r="D36" s="314">
        <v>334</v>
      </c>
    </row>
    <row r="37" spans="2:4" ht="12.75">
      <c r="B37" s="314"/>
      <c r="C37" s="314"/>
      <c r="D37" s="315">
        <f>SUM(D32:D36)</f>
        <v>5934</v>
      </c>
    </row>
    <row r="38" spans="1:4" ht="12.75">
      <c r="A38" s="313" t="s">
        <v>921</v>
      </c>
      <c r="B38" s="314">
        <v>3450</v>
      </c>
      <c r="C38" s="314"/>
      <c r="D38" s="314"/>
    </row>
    <row r="39" spans="1:4" ht="12.75">
      <c r="A39" s="313" t="s">
        <v>922</v>
      </c>
      <c r="B39" s="314">
        <v>93891</v>
      </c>
      <c r="C39" s="314"/>
      <c r="D39" s="314"/>
    </row>
    <row r="40" spans="1:2" ht="12.75">
      <c r="A40" s="313" t="s">
        <v>923</v>
      </c>
      <c r="B40" s="314">
        <v>407978</v>
      </c>
    </row>
    <row r="41" spans="1:2" ht="12.75">
      <c r="A41" s="313" t="s">
        <v>924</v>
      </c>
      <c r="B41" s="314">
        <v>7178</v>
      </c>
    </row>
    <row r="42" ht="12.75">
      <c r="B42" s="315">
        <f>SUM(B38:B41)</f>
        <v>512497</v>
      </c>
    </row>
  </sheetData>
  <mergeCells count="2">
    <mergeCell ref="A3:F3"/>
    <mergeCell ref="A31:F31"/>
  </mergeCells>
  <printOptions horizontalCentered="1"/>
  <pageMargins left="0.4330708661417323" right="0.3937007874015748" top="0.31496062992125984" bottom="0.31496062992125984" header="0.2755905511811024" footer="0.2755905511811024"/>
  <pageSetup horizontalDpi="600" verticalDpi="600" orientation="portrait" paperSize="9" scale="78" r:id="rId1"/>
  <headerFooter alignWithMargins="0">
    <oddHeader>&amp;L24. melléklet 14/2013.(V.2.) önkormányzati rendelethez
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SheetLayoutView="100" workbookViewId="0" topLeftCell="A31">
      <selection activeCell="A52" sqref="A52"/>
    </sheetView>
  </sheetViews>
  <sheetFormatPr defaultColWidth="9.00390625" defaultRowHeight="12.75"/>
  <cols>
    <col min="1" max="1" width="27.875" style="1273" customWidth="1"/>
    <col min="2" max="2" width="16.625" style="1273" customWidth="1"/>
    <col min="3" max="5" width="15.625" style="1273" customWidth="1"/>
    <col min="6" max="6" width="11.125" style="1273" customWidth="1"/>
    <col min="7" max="16384" width="11.625" style="1273" customWidth="1"/>
  </cols>
  <sheetData>
    <row r="1" spans="1:3" ht="12.75">
      <c r="A1" s="1631"/>
      <c r="B1" s="1631"/>
      <c r="C1" s="1631"/>
    </row>
    <row r="3" spans="1:6" ht="16.5" thickBot="1">
      <c r="A3" s="1630" t="s">
        <v>911</v>
      </c>
      <c r="B3" s="1630"/>
      <c r="C3" s="1630"/>
      <c r="D3" s="1630"/>
      <c r="E3" s="1630"/>
      <c r="F3" s="1630"/>
    </row>
    <row r="4" spans="1:6" ht="51">
      <c r="A4" s="1260" t="s">
        <v>895</v>
      </c>
      <c r="B4" s="1261" t="s">
        <v>896</v>
      </c>
      <c r="C4" s="1261" t="s">
        <v>897</v>
      </c>
      <c r="D4" s="1261" t="s">
        <v>898</v>
      </c>
      <c r="E4" s="1261" t="s">
        <v>899</v>
      </c>
      <c r="F4" s="1262" t="s">
        <v>900</v>
      </c>
    </row>
    <row r="5" spans="1:6" ht="12.75">
      <c r="A5" s="1263" t="s">
        <v>901</v>
      </c>
      <c r="B5" s="1258">
        <v>10</v>
      </c>
      <c r="C5" s="1258">
        <v>10</v>
      </c>
      <c r="D5" s="1258">
        <v>10</v>
      </c>
      <c r="E5" s="1258">
        <v>10</v>
      </c>
      <c r="F5" s="1264">
        <v>0.002</v>
      </c>
    </row>
    <row r="6" spans="1:6" ht="12.75">
      <c r="A6" s="1263" t="s">
        <v>902</v>
      </c>
      <c r="B6" s="1258">
        <v>522</v>
      </c>
      <c r="C6" s="1258">
        <v>522</v>
      </c>
      <c r="D6" s="1258">
        <v>261</v>
      </c>
      <c r="E6" s="1258">
        <v>261</v>
      </c>
      <c r="F6" s="1264">
        <v>0.04</v>
      </c>
    </row>
    <row r="7" spans="1:6" ht="12.75">
      <c r="A7" s="1263" t="s">
        <v>903</v>
      </c>
      <c r="B7" s="1258">
        <v>13000</v>
      </c>
      <c r="C7" s="1258">
        <v>2500</v>
      </c>
      <c r="D7" s="1258">
        <v>4000</v>
      </c>
      <c r="E7" s="1258">
        <v>2500</v>
      </c>
      <c r="F7" s="1264">
        <v>100</v>
      </c>
    </row>
    <row r="8" spans="1:6" ht="12.75">
      <c r="A8" s="1263" t="s">
        <v>904</v>
      </c>
      <c r="B8" s="1258">
        <v>8800</v>
      </c>
      <c r="C8" s="1258">
        <v>8800</v>
      </c>
      <c r="D8" s="1258">
        <v>8800</v>
      </c>
      <c r="E8" s="1258">
        <v>8800</v>
      </c>
      <c r="F8" s="1264">
        <v>100</v>
      </c>
    </row>
    <row r="9" spans="1:6" ht="12.75">
      <c r="A9" s="1263" t="s">
        <v>905</v>
      </c>
      <c r="B9" s="1258">
        <v>500</v>
      </c>
      <c r="C9" s="1258">
        <v>500</v>
      </c>
      <c r="D9" s="1258">
        <v>500</v>
      </c>
      <c r="E9" s="1258">
        <v>500</v>
      </c>
      <c r="F9" s="1264">
        <v>100</v>
      </c>
    </row>
    <row r="10" spans="1:6" ht="51">
      <c r="A10" s="1265" t="s">
        <v>906</v>
      </c>
      <c r="B10" s="1258">
        <v>357</v>
      </c>
      <c r="C10" s="1258">
        <v>357</v>
      </c>
      <c r="D10" s="1258">
        <v>200</v>
      </c>
      <c r="E10" s="1258">
        <v>200</v>
      </c>
      <c r="F10" s="1264">
        <v>1.785</v>
      </c>
    </row>
    <row r="11" spans="1:6" ht="25.5">
      <c r="A11" s="1266" t="s">
        <v>907</v>
      </c>
      <c r="B11" s="1258">
        <v>300</v>
      </c>
      <c r="C11" s="1258">
        <v>300</v>
      </c>
      <c r="D11" s="1258">
        <v>150</v>
      </c>
      <c r="E11" s="1258">
        <v>150</v>
      </c>
      <c r="F11" s="1264">
        <v>10</v>
      </c>
    </row>
    <row r="12" spans="1:6" ht="12.75">
      <c r="A12" s="1267" t="s">
        <v>908</v>
      </c>
      <c r="B12" s="1259">
        <v>20000</v>
      </c>
      <c r="C12" s="1259">
        <v>20000</v>
      </c>
      <c r="D12" s="1259">
        <v>20000</v>
      </c>
      <c r="E12" s="1259">
        <v>20000</v>
      </c>
      <c r="F12" s="1268">
        <v>100</v>
      </c>
    </row>
    <row r="13" spans="1:6" ht="12.75">
      <c r="A13" s="1267" t="s">
        <v>909</v>
      </c>
      <c r="B13" s="1259">
        <v>15000</v>
      </c>
      <c r="C13" s="1259">
        <v>0</v>
      </c>
      <c r="D13" s="1259">
        <v>7500</v>
      </c>
      <c r="E13" s="1259">
        <v>0</v>
      </c>
      <c r="F13" s="1268"/>
    </row>
    <row r="14" spans="1:6" ht="12.75">
      <c r="A14" s="1267" t="s">
        <v>910</v>
      </c>
      <c r="B14" s="1259">
        <v>116000</v>
      </c>
      <c r="C14" s="1259">
        <v>116000</v>
      </c>
      <c r="D14" s="1259">
        <v>105500</v>
      </c>
      <c r="E14" s="1259">
        <v>105500</v>
      </c>
      <c r="F14" s="1268">
        <v>100</v>
      </c>
    </row>
    <row r="15" spans="1:6" ht="13.5" thickBot="1">
      <c r="A15" s="1269" t="s">
        <v>1041</v>
      </c>
      <c r="B15" s="1270">
        <f>SUM(B5:B14)</f>
        <v>174489</v>
      </c>
      <c r="C15" s="1270">
        <f>SUM(C5:C14)</f>
        <v>148989</v>
      </c>
      <c r="D15" s="1270">
        <f>SUM(D5:D14)</f>
        <v>146921</v>
      </c>
      <c r="E15" s="1270">
        <f>SUM(E5:E14)</f>
        <v>137921</v>
      </c>
      <c r="F15" s="1271"/>
    </row>
    <row r="18" spans="1:6" ht="24.75" customHeight="1">
      <c r="A18" s="1632" t="s">
        <v>355</v>
      </c>
      <c r="B18" s="1632"/>
      <c r="C18" s="1632"/>
      <c r="D18" s="1632"/>
      <c r="E18" s="1632"/>
      <c r="F18" s="1632"/>
    </row>
    <row r="20" spans="1:6" ht="12.75">
      <c r="A20" s="1548"/>
      <c r="B20" s="1549"/>
      <c r="C20" s="1549"/>
      <c r="D20" s="1549"/>
      <c r="E20" s="1549"/>
      <c r="F20" s="1549"/>
    </row>
    <row r="22" spans="1:6" ht="12.75" customHeight="1">
      <c r="A22" s="1632" t="s">
        <v>356</v>
      </c>
      <c r="B22" s="1632"/>
      <c r="C22" s="1632"/>
      <c r="D22" s="1632"/>
      <c r="E22" s="1632"/>
      <c r="F22" s="1632"/>
    </row>
    <row r="23" ht="13.5" thickBot="1"/>
    <row r="24" spans="1:6" ht="13.5" customHeight="1">
      <c r="A24" s="1633" t="s">
        <v>873</v>
      </c>
      <c r="B24" s="1635" t="s">
        <v>357</v>
      </c>
      <c r="C24" s="1636"/>
      <c r="D24" s="1636"/>
      <c r="E24" s="1637"/>
      <c r="F24" s="1638" t="s">
        <v>358</v>
      </c>
    </row>
    <row r="25" spans="1:6" ht="13.5" customHeight="1" thickBot="1">
      <c r="A25" s="1634"/>
      <c r="B25" s="1291" t="s">
        <v>359</v>
      </c>
      <c r="C25" s="1291" t="s">
        <v>360</v>
      </c>
      <c r="D25" s="1291" t="s">
        <v>361</v>
      </c>
      <c r="E25" s="1291" t="s">
        <v>240</v>
      </c>
      <c r="F25" s="1639"/>
    </row>
    <row r="26" spans="1:6" ht="12.75">
      <c r="A26" s="1287" t="s">
        <v>903</v>
      </c>
      <c r="B26" s="1288" t="s">
        <v>362</v>
      </c>
      <c r="C26" s="1288">
        <v>2009</v>
      </c>
      <c r="D26" s="1289">
        <v>2834</v>
      </c>
      <c r="E26" s="1288">
        <v>2014</v>
      </c>
      <c r="F26" s="1290">
        <v>639</v>
      </c>
    </row>
    <row r="27" spans="1:6" ht="12.75">
      <c r="A27" s="1277" t="s">
        <v>903</v>
      </c>
      <c r="B27" s="1278" t="s">
        <v>362</v>
      </c>
      <c r="C27" s="1278">
        <v>2010</v>
      </c>
      <c r="D27" s="1279">
        <v>2880</v>
      </c>
      <c r="E27" s="1278">
        <v>2014</v>
      </c>
      <c r="F27" s="1280">
        <v>1260</v>
      </c>
    </row>
    <row r="28" spans="1:6" ht="12.75">
      <c r="A28" s="1277" t="s">
        <v>903</v>
      </c>
      <c r="B28" s="1278" t="s">
        <v>363</v>
      </c>
      <c r="C28" s="1281">
        <v>2011</v>
      </c>
      <c r="D28" s="1282">
        <v>13000</v>
      </c>
      <c r="E28" s="1278" t="s">
        <v>364</v>
      </c>
      <c r="F28" s="1283">
        <v>13000</v>
      </c>
    </row>
    <row r="29" spans="1:6" ht="12.75">
      <c r="A29" s="1277" t="s">
        <v>903</v>
      </c>
      <c r="B29" s="1278" t="s">
        <v>365</v>
      </c>
      <c r="C29" s="1281">
        <v>2011</v>
      </c>
      <c r="D29" s="1282">
        <v>20000</v>
      </c>
      <c r="E29" s="1281">
        <v>2013</v>
      </c>
      <c r="F29" s="1284">
        <v>15000</v>
      </c>
    </row>
    <row r="30" spans="1:6" ht="12.75">
      <c r="A30" s="1277" t="s">
        <v>903</v>
      </c>
      <c r="B30" s="1278" t="s">
        <v>365</v>
      </c>
      <c r="C30" s="1281">
        <v>2011</v>
      </c>
      <c r="D30" s="1282">
        <v>20000</v>
      </c>
      <c r="E30" s="1281">
        <v>2013</v>
      </c>
      <c r="F30" s="1284">
        <v>20000</v>
      </c>
    </row>
    <row r="31" spans="1:6" ht="12.75">
      <c r="A31" s="1277" t="s">
        <v>903</v>
      </c>
      <c r="B31" s="1278" t="s">
        <v>366</v>
      </c>
      <c r="C31" s="1281">
        <v>2012</v>
      </c>
      <c r="D31" s="1282">
        <v>18550</v>
      </c>
      <c r="E31" s="1281">
        <v>2013</v>
      </c>
      <c r="F31" s="1284">
        <v>18550</v>
      </c>
    </row>
    <row r="32" spans="1:6" ht="12.75">
      <c r="A32" s="1277" t="s">
        <v>903</v>
      </c>
      <c r="B32" s="1278" t="s">
        <v>366</v>
      </c>
      <c r="C32" s="1281">
        <v>2012</v>
      </c>
      <c r="D32" s="1282">
        <v>20066</v>
      </c>
      <c r="E32" s="1281">
        <v>2013</v>
      </c>
      <c r="F32" s="1284">
        <v>20066</v>
      </c>
    </row>
    <row r="33" spans="1:6" ht="12.75">
      <c r="A33" s="1277" t="s">
        <v>903</v>
      </c>
      <c r="B33" s="1278" t="s">
        <v>367</v>
      </c>
      <c r="C33" s="1281">
        <v>2012</v>
      </c>
      <c r="D33" s="1282">
        <v>1200</v>
      </c>
      <c r="E33" s="1281">
        <v>2013</v>
      </c>
      <c r="F33" s="1284">
        <v>1200</v>
      </c>
    </row>
    <row r="34" spans="1:6" ht="12.75">
      <c r="A34" s="1640" t="s">
        <v>368</v>
      </c>
      <c r="B34" s="1641"/>
      <c r="C34" s="1641"/>
      <c r="D34" s="1641"/>
      <c r="E34" s="1641"/>
      <c r="F34" s="1285">
        <f>SUM(F26:F33)</f>
        <v>89715</v>
      </c>
    </row>
    <row r="35" spans="1:6" ht="12.75">
      <c r="A35" s="1277" t="s">
        <v>905</v>
      </c>
      <c r="B35" s="1278" t="s">
        <v>369</v>
      </c>
      <c r="C35" s="1281">
        <v>2011</v>
      </c>
      <c r="D35" s="1282">
        <v>3000</v>
      </c>
      <c r="E35" s="1281">
        <v>2013</v>
      </c>
      <c r="F35" s="1284">
        <v>3000</v>
      </c>
    </row>
    <row r="36" spans="1:6" ht="12.75">
      <c r="A36" s="1277" t="s">
        <v>905</v>
      </c>
      <c r="B36" s="1278" t="s">
        <v>370</v>
      </c>
      <c r="C36" s="1281">
        <v>2011</v>
      </c>
      <c r="D36" s="1282">
        <v>1500</v>
      </c>
      <c r="E36" s="1281">
        <v>2013</v>
      </c>
      <c r="F36" s="1284">
        <v>500</v>
      </c>
    </row>
    <row r="37" spans="1:6" ht="12.75">
      <c r="A37" s="1277" t="s">
        <v>905</v>
      </c>
      <c r="B37" s="1278" t="s">
        <v>370</v>
      </c>
      <c r="C37" s="1281">
        <v>2012</v>
      </c>
      <c r="D37" s="1282">
        <v>2500</v>
      </c>
      <c r="E37" s="1281">
        <v>2013</v>
      </c>
      <c r="F37" s="1284">
        <v>2500</v>
      </c>
    </row>
    <row r="38" spans="1:6" ht="12.75">
      <c r="A38" s="1640" t="s">
        <v>371</v>
      </c>
      <c r="B38" s="1641"/>
      <c r="C38" s="1641"/>
      <c r="D38" s="1641"/>
      <c r="E38" s="1641"/>
      <c r="F38" s="1285">
        <f>SUM(F35:F37)</f>
        <v>6000</v>
      </c>
    </row>
    <row r="39" spans="1:6" ht="12.75">
      <c r="A39" s="1277" t="s">
        <v>910</v>
      </c>
      <c r="B39" s="1278" t="s">
        <v>372</v>
      </c>
      <c r="C39" s="1281">
        <v>2009</v>
      </c>
      <c r="D39" s="1282">
        <v>5000</v>
      </c>
      <c r="E39" s="1281">
        <v>2012</v>
      </c>
      <c r="F39" s="1284">
        <v>2940</v>
      </c>
    </row>
    <row r="40" spans="1:6" ht="12.75">
      <c r="A40" s="1277" t="s">
        <v>910</v>
      </c>
      <c r="B40" s="1278" t="s">
        <v>373</v>
      </c>
      <c r="C40" s="1281">
        <v>2010</v>
      </c>
      <c r="D40" s="1282">
        <v>8000</v>
      </c>
      <c r="E40" s="1281">
        <v>2012</v>
      </c>
      <c r="F40" s="1284">
        <v>8000</v>
      </c>
    </row>
    <row r="41" spans="1:6" ht="12.75">
      <c r="A41" s="1277" t="s">
        <v>910</v>
      </c>
      <c r="B41" s="1278" t="s">
        <v>374</v>
      </c>
      <c r="C41" s="1281">
        <v>2010</v>
      </c>
      <c r="D41" s="1282">
        <v>15000</v>
      </c>
      <c r="E41" s="1281">
        <v>2012</v>
      </c>
      <c r="F41" s="1284">
        <v>15000</v>
      </c>
    </row>
    <row r="42" spans="1:6" ht="12.75">
      <c r="A42" s="1277" t="s">
        <v>910</v>
      </c>
      <c r="B42" s="1278" t="s">
        <v>375</v>
      </c>
      <c r="C42" s="1281">
        <v>2011</v>
      </c>
      <c r="D42" s="1282">
        <v>9700</v>
      </c>
      <c r="E42" s="1281">
        <v>2012</v>
      </c>
      <c r="F42" s="1284">
        <v>9700</v>
      </c>
    </row>
    <row r="43" spans="1:6" ht="12.75">
      <c r="A43" s="1277" t="s">
        <v>910</v>
      </c>
      <c r="B43" s="1278" t="s">
        <v>376</v>
      </c>
      <c r="C43" s="1281">
        <v>2011</v>
      </c>
      <c r="D43" s="1282">
        <v>34871</v>
      </c>
      <c r="E43" s="1278" t="s">
        <v>364</v>
      </c>
      <c r="F43" s="1283">
        <v>34871</v>
      </c>
    </row>
    <row r="44" spans="1:6" ht="12.75">
      <c r="A44" s="1277" t="s">
        <v>910</v>
      </c>
      <c r="B44" s="1278" t="s">
        <v>377</v>
      </c>
      <c r="C44" s="1281">
        <v>2011</v>
      </c>
      <c r="D44" s="1282">
        <v>5000</v>
      </c>
      <c r="E44" s="1281">
        <v>2013</v>
      </c>
      <c r="F44" s="1284">
        <v>5000</v>
      </c>
    </row>
    <row r="45" spans="1:6" ht="12.75">
      <c r="A45" s="1277" t="s">
        <v>910</v>
      </c>
      <c r="B45" s="1278" t="s">
        <v>378</v>
      </c>
      <c r="C45" s="1281">
        <v>2012</v>
      </c>
      <c r="D45" s="1282">
        <v>7400</v>
      </c>
      <c r="E45" s="1281">
        <v>2013</v>
      </c>
      <c r="F45" s="1284">
        <v>7400</v>
      </c>
    </row>
    <row r="46" spans="1:6" ht="12.75">
      <c r="A46" s="1277" t="s">
        <v>910</v>
      </c>
      <c r="B46" s="1278" t="s">
        <v>379</v>
      </c>
      <c r="C46" s="1281">
        <v>2012</v>
      </c>
      <c r="D46" s="1282">
        <v>7841</v>
      </c>
      <c r="E46" s="1281">
        <v>2013</v>
      </c>
      <c r="F46" s="1284">
        <v>7841</v>
      </c>
    </row>
    <row r="47" spans="1:6" ht="12.75">
      <c r="A47" s="1277" t="s">
        <v>910</v>
      </c>
      <c r="B47" s="1278" t="s">
        <v>380</v>
      </c>
      <c r="C47" s="1281">
        <v>2012</v>
      </c>
      <c r="D47" s="1282">
        <v>2500</v>
      </c>
      <c r="E47" s="1281">
        <v>2013</v>
      </c>
      <c r="F47" s="1284">
        <v>2500</v>
      </c>
    </row>
    <row r="48" spans="1:6" ht="13.5" thickBot="1">
      <c r="A48" s="1642" t="s">
        <v>381</v>
      </c>
      <c r="B48" s="1643"/>
      <c r="C48" s="1643"/>
      <c r="D48" s="1643"/>
      <c r="E48" s="1643"/>
      <c r="F48" s="1286">
        <f>SUM(F39:F47)</f>
        <v>93252</v>
      </c>
    </row>
    <row r="49" spans="1:6" ht="12.75">
      <c r="A49" s="1275"/>
      <c r="B49" s="1275"/>
      <c r="C49" s="1275"/>
      <c r="D49" s="1275"/>
      <c r="E49" s="1275"/>
      <c r="F49" s="1276"/>
    </row>
    <row r="50" spans="1:6" ht="12.75">
      <c r="A50" s="1549" t="s">
        <v>382</v>
      </c>
      <c r="B50" s="1549"/>
      <c r="C50" s="1549"/>
      <c r="D50" s="1549"/>
      <c r="E50" s="1549"/>
      <c r="F50" s="1549"/>
    </row>
    <row r="53" spans="1:6" ht="12.75">
      <c r="A53" s="1548"/>
      <c r="B53" s="1549"/>
      <c r="C53" s="1549"/>
      <c r="D53" s="1549"/>
      <c r="E53" s="1549"/>
      <c r="F53" s="1549"/>
    </row>
    <row r="55" spans="1:6" ht="12.75" customHeight="1">
      <c r="A55" s="1632" t="s">
        <v>383</v>
      </c>
      <c r="B55" s="1632"/>
      <c r="C55" s="1632"/>
      <c r="D55" s="1632"/>
      <c r="E55" s="1632"/>
      <c r="F55" s="1632"/>
    </row>
    <row r="56" ht="13.5" thickBot="1"/>
    <row r="57" spans="1:6" ht="12.75" customHeight="1">
      <c r="A57" s="1646" t="s">
        <v>873</v>
      </c>
      <c r="B57" s="1647"/>
      <c r="C57" s="1648" t="s">
        <v>384</v>
      </c>
      <c r="D57" s="1648"/>
      <c r="E57" s="1648"/>
      <c r="F57" s="1649" t="s">
        <v>385</v>
      </c>
    </row>
    <row r="58" spans="1:6" ht="13.5" thickBot="1">
      <c r="A58" s="1642"/>
      <c r="B58" s="1643"/>
      <c r="C58" s="1291" t="s">
        <v>386</v>
      </c>
      <c r="D58" s="1296" t="s">
        <v>360</v>
      </c>
      <c r="E58" s="1296" t="s">
        <v>387</v>
      </c>
      <c r="F58" s="1650"/>
    </row>
    <row r="59" spans="1:6" ht="13.5" thickBot="1">
      <c r="A59" s="1644" t="s">
        <v>388</v>
      </c>
      <c r="B59" s="1645"/>
      <c r="C59" s="1292" t="s">
        <v>389</v>
      </c>
      <c r="D59" s="1293">
        <v>2012</v>
      </c>
      <c r="E59" s="1294">
        <v>2499</v>
      </c>
      <c r="F59" s="1295" t="s">
        <v>700</v>
      </c>
    </row>
  </sheetData>
  <mergeCells count="18">
    <mergeCell ref="A59:B59"/>
    <mergeCell ref="A53:F53"/>
    <mergeCell ref="A55:F55"/>
    <mergeCell ref="A57:B58"/>
    <mergeCell ref="C57:E57"/>
    <mergeCell ref="F57:F58"/>
    <mergeCell ref="A34:E34"/>
    <mergeCell ref="A38:E38"/>
    <mergeCell ref="A48:E48"/>
    <mergeCell ref="A50:F50"/>
    <mergeCell ref="A22:F22"/>
    <mergeCell ref="A24:A25"/>
    <mergeCell ref="B24:E24"/>
    <mergeCell ref="F24:F25"/>
    <mergeCell ref="A3:F3"/>
    <mergeCell ref="A1:C1"/>
    <mergeCell ref="A18:F18"/>
    <mergeCell ref="A20:F20"/>
  </mergeCells>
  <printOptions horizontalCentered="1"/>
  <pageMargins left="0.5905511811023623" right="0.5905511811023623" top="1.02" bottom="0.7874015748031497" header="0.5118110236220472" footer="0.5118110236220472"/>
  <pageSetup firstPageNumber="1" useFirstPageNumber="1" horizontalDpi="300" verticalDpi="300" orientation="portrait" paperSize="9" scale="84" r:id="rId1"/>
  <headerFooter alignWithMargins="0">
    <oddHeader>&amp;L26. melléklet a 14/2013. (V.2.) önkormányzati rendelethez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view="pageBreakPreview" zoomScaleSheetLayoutView="100" workbookViewId="0" topLeftCell="L34">
      <selection activeCell="S58" sqref="Q58:S58"/>
    </sheetView>
  </sheetViews>
  <sheetFormatPr defaultColWidth="9.00390625" defaultRowHeight="12.75"/>
  <cols>
    <col min="1" max="1" width="47.875" style="0" customWidth="1"/>
    <col min="2" max="2" width="13.625" style="0" customWidth="1"/>
    <col min="3" max="4" width="14.00390625" style="0" customWidth="1"/>
    <col min="5" max="5" width="13.625" style="0" customWidth="1"/>
    <col min="6" max="7" width="13.375" style="0" customWidth="1"/>
    <col min="8" max="14" width="13.625" style="0" customWidth="1"/>
    <col min="15" max="16" width="13.75390625" style="0" customWidth="1"/>
    <col min="17" max="17" width="13.625" style="0" customWidth="1"/>
    <col min="18" max="18" width="12.75390625" style="0" customWidth="1"/>
    <col min="19" max="19" width="12.375" style="0" customWidth="1"/>
  </cols>
  <sheetData>
    <row r="1" spans="1:17" ht="12.75">
      <c r="A1" s="2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9" s="121" customFormat="1" ht="14.25">
      <c r="A2" s="1338" t="s">
        <v>544</v>
      </c>
      <c r="B2" s="1338"/>
      <c r="C2" s="1338"/>
      <c r="D2" s="1338"/>
      <c r="E2" s="1338"/>
      <c r="F2" s="1338"/>
      <c r="G2" s="1338"/>
      <c r="H2" s="1338"/>
      <c r="I2" s="1338"/>
      <c r="J2" s="1338"/>
      <c r="K2" s="1338"/>
      <c r="L2" s="1338"/>
      <c r="M2" s="1338"/>
      <c r="N2" s="1338"/>
      <c r="O2" s="1338"/>
      <c r="P2" s="1338"/>
      <c r="Q2" s="1338"/>
      <c r="R2" s="1338"/>
      <c r="S2" s="1338"/>
    </row>
    <row r="3" spans="1:17" ht="8.2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26"/>
    </row>
    <row r="4" spans="1:19" ht="76.5" customHeight="1" thickBot="1">
      <c r="A4" s="156" t="s">
        <v>743</v>
      </c>
      <c r="B4" s="1339" t="s">
        <v>552</v>
      </c>
      <c r="C4" s="1340"/>
      <c r="D4" s="1333"/>
      <c r="E4" s="1331" t="s">
        <v>553</v>
      </c>
      <c r="F4" s="1340"/>
      <c r="G4" s="1333"/>
      <c r="H4" s="1331" t="s">
        <v>549</v>
      </c>
      <c r="I4" s="1340"/>
      <c r="J4" s="1333"/>
      <c r="K4" s="1331" t="s">
        <v>741</v>
      </c>
      <c r="L4" s="1340"/>
      <c r="M4" s="1333"/>
      <c r="N4" s="1331" t="s">
        <v>826</v>
      </c>
      <c r="O4" s="1340"/>
      <c r="P4" s="1333"/>
      <c r="Q4" s="1332" t="s">
        <v>756</v>
      </c>
      <c r="R4" s="1330"/>
      <c r="S4" s="1329"/>
    </row>
    <row r="5" spans="1:19" ht="26.25" customHeight="1">
      <c r="A5" s="154"/>
      <c r="B5" s="155" t="s">
        <v>753</v>
      </c>
      <c r="C5" s="230" t="s">
        <v>550</v>
      </c>
      <c r="D5" s="267" t="s">
        <v>535</v>
      </c>
      <c r="E5" s="218" t="s">
        <v>753</v>
      </c>
      <c r="F5" s="230" t="s">
        <v>550</v>
      </c>
      <c r="G5" s="267" t="s">
        <v>535</v>
      </c>
      <c r="H5" s="218" t="s">
        <v>753</v>
      </c>
      <c r="I5" s="230" t="s">
        <v>550</v>
      </c>
      <c r="J5" s="157" t="s">
        <v>535</v>
      </c>
      <c r="K5" s="172" t="s">
        <v>753</v>
      </c>
      <c r="L5" s="230" t="s">
        <v>550</v>
      </c>
      <c r="M5" s="157" t="s">
        <v>535</v>
      </c>
      <c r="N5" s="172" t="s">
        <v>753</v>
      </c>
      <c r="O5" s="230" t="s">
        <v>550</v>
      </c>
      <c r="P5" s="157" t="s">
        <v>535</v>
      </c>
      <c r="Q5" s="269" t="s">
        <v>754</v>
      </c>
      <c r="R5" s="270" t="s">
        <v>550</v>
      </c>
      <c r="S5" s="157" t="s">
        <v>535</v>
      </c>
    </row>
    <row r="6" spans="1:19" ht="12.75" customHeight="1">
      <c r="A6" s="138" t="s">
        <v>739</v>
      </c>
      <c r="B6" s="128">
        <f>SUM(B7,B8,B12)</f>
        <v>2170431</v>
      </c>
      <c r="C6" s="82">
        <f>SUM(C7,C8,C12)</f>
        <v>2315965</v>
      </c>
      <c r="D6" s="146">
        <f>SUM(D7,D8,D12)</f>
        <v>2452270</v>
      </c>
      <c r="E6" s="158">
        <f>SUM(E7,E8,E12)</f>
        <v>14500</v>
      </c>
      <c r="F6" s="82">
        <v>22154</v>
      </c>
      <c r="G6" s="146">
        <v>24218</v>
      </c>
      <c r="H6" s="158">
        <f>SUM(H7,H8,H12)</f>
        <v>3000</v>
      </c>
      <c r="I6" s="82">
        <f>SUM(I8+I12)</f>
        <v>2027</v>
      </c>
      <c r="J6" s="146">
        <f>SUM(J8+J12)</f>
        <v>2239</v>
      </c>
      <c r="K6" s="158">
        <f>SUM(K7,K8,K12)</f>
        <v>148665</v>
      </c>
      <c r="L6" s="82">
        <f>SUM(L7,L8,L12)</f>
        <v>173530</v>
      </c>
      <c r="M6" s="146">
        <v>172717</v>
      </c>
      <c r="N6" s="173">
        <f>SUM(N7,N8,N12)</f>
        <v>8950</v>
      </c>
      <c r="O6" s="82">
        <f>SUM(O7,O8,O12)</f>
        <v>5017</v>
      </c>
      <c r="P6" s="146">
        <v>4472</v>
      </c>
      <c r="Q6" s="242">
        <f aca="true" t="shared" si="0" ref="Q6:Q43">SUM(B6,E6,H6,K6,N6)</f>
        <v>2345546</v>
      </c>
      <c r="R6" s="1317">
        <f aca="true" t="shared" si="1" ref="R6:S44">SUM(C6,F6,I6,L6,O6)</f>
        <v>2518693</v>
      </c>
      <c r="S6" s="146">
        <f t="shared" si="1"/>
        <v>2655916</v>
      </c>
    </row>
    <row r="7" spans="1:19" s="30" customFormat="1" ht="12.75" customHeight="1">
      <c r="A7" s="140" t="s">
        <v>772</v>
      </c>
      <c r="B7" s="80"/>
      <c r="C7" s="83"/>
      <c r="D7" s="139"/>
      <c r="E7" s="159">
        <v>9000</v>
      </c>
      <c r="F7" s="83">
        <v>9000</v>
      </c>
      <c r="G7" s="139">
        <v>10207</v>
      </c>
      <c r="H7" s="159"/>
      <c r="I7" s="83"/>
      <c r="J7" s="139"/>
      <c r="K7" s="159"/>
      <c r="L7" s="83"/>
      <c r="M7" s="139"/>
      <c r="N7" s="159"/>
      <c r="O7" s="83"/>
      <c r="P7" s="139"/>
      <c r="Q7" s="238">
        <f t="shared" si="0"/>
        <v>9000</v>
      </c>
      <c r="R7" s="80">
        <f t="shared" si="1"/>
        <v>9000</v>
      </c>
      <c r="S7" s="139">
        <f t="shared" si="1"/>
        <v>10207</v>
      </c>
    </row>
    <row r="8" spans="1:19" s="30" customFormat="1" ht="12.75" customHeight="1">
      <c r="A8" s="140" t="s">
        <v>738</v>
      </c>
      <c r="B8" s="80">
        <f>SUM(B9:B11)</f>
        <v>121019</v>
      </c>
      <c r="C8" s="83">
        <f>SUM(C9:C11)</f>
        <v>166138</v>
      </c>
      <c r="D8" s="139">
        <f>SUM(D9:D11)</f>
        <v>191122</v>
      </c>
      <c r="E8" s="159">
        <f>SUM(E9:E11)</f>
        <v>5500</v>
      </c>
      <c r="F8" s="83">
        <v>13154</v>
      </c>
      <c r="G8" s="139">
        <v>14011</v>
      </c>
      <c r="H8" s="159"/>
      <c r="I8" s="83">
        <v>27</v>
      </c>
      <c r="J8" s="139">
        <v>36</v>
      </c>
      <c r="K8" s="159">
        <f>SUM(K9:K11)</f>
        <v>148665</v>
      </c>
      <c r="L8" s="83">
        <f>SUM(L9:L11)</f>
        <v>173530</v>
      </c>
      <c r="M8" s="139">
        <f>SUM(M9:M11)</f>
        <v>172717</v>
      </c>
      <c r="N8" s="159">
        <f>SUM(N9:N11)</f>
        <v>8950</v>
      </c>
      <c r="O8" s="83">
        <f>SUM(O9:O11)</f>
        <v>5017</v>
      </c>
      <c r="P8" s="139">
        <v>4472</v>
      </c>
      <c r="Q8" s="238">
        <f t="shared" si="0"/>
        <v>284134</v>
      </c>
      <c r="R8" s="80">
        <f t="shared" si="1"/>
        <v>357866</v>
      </c>
      <c r="S8" s="139">
        <f t="shared" si="1"/>
        <v>382358</v>
      </c>
    </row>
    <row r="9" spans="1:19" s="240" customFormat="1" ht="27.75" customHeight="1">
      <c r="A9" s="141" t="s">
        <v>556</v>
      </c>
      <c r="B9" s="46">
        <v>49765</v>
      </c>
      <c r="C9" s="84">
        <v>63999</v>
      </c>
      <c r="D9" s="168">
        <v>71847</v>
      </c>
      <c r="E9" s="160">
        <v>4481</v>
      </c>
      <c r="F9" s="84">
        <v>389</v>
      </c>
      <c r="G9" s="168">
        <v>8298</v>
      </c>
      <c r="H9" s="160"/>
      <c r="I9" s="84">
        <v>27</v>
      </c>
      <c r="J9" s="168">
        <v>27</v>
      </c>
      <c r="K9" s="160">
        <v>111711</v>
      </c>
      <c r="L9" s="84">
        <v>132211</v>
      </c>
      <c r="M9" s="168">
        <v>130403</v>
      </c>
      <c r="N9" s="160">
        <v>8250</v>
      </c>
      <c r="O9" s="84">
        <v>3805</v>
      </c>
      <c r="P9" s="168">
        <v>3260</v>
      </c>
      <c r="Q9" s="239">
        <f t="shared" si="0"/>
        <v>174207</v>
      </c>
      <c r="R9" s="80">
        <f t="shared" si="1"/>
        <v>200431</v>
      </c>
      <c r="S9" s="139">
        <f t="shared" si="1"/>
        <v>213835</v>
      </c>
    </row>
    <row r="10" spans="1:19" s="240" customFormat="1" ht="12.75" customHeight="1">
      <c r="A10" s="100" t="s">
        <v>658</v>
      </c>
      <c r="B10" s="46">
        <v>66254</v>
      </c>
      <c r="C10" s="84">
        <v>95987</v>
      </c>
      <c r="D10" s="168">
        <v>96695</v>
      </c>
      <c r="E10" s="160">
        <v>1019</v>
      </c>
      <c r="F10" s="84">
        <v>12765</v>
      </c>
      <c r="G10" s="168">
        <v>5489</v>
      </c>
      <c r="H10" s="160"/>
      <c r="I10" s="84"/>
      <c r="J10" s="168"/>
      <c r="K10" s="160">
        <v>36954</v>
      </c>
      <c r="L10" s="84">
        <v>41319</v>
      </c>
      <c r="M10" s="168">
        <v>41565</v>
      </c>
      <c r="N10" s="160">
        <v>200</v>
      </c>
      <c r="O10" s="84">
        <v>7</v>
      </c>
      <c r="P10" s="168">
        <v>7</v>
      </c>
      <c r="Q10" s="239">
        <f t="shared" si="0"/>
        <v>104427</v>
      </c>
      <c r="R10" s="80">
        <f t="shared" si="1"/>
        <v>150078</v>
      </c>
      <c r="S10" s="139">
        <f t="shared" si="1"/>
        <v>143756</v>
      </c>
    </row>
    <row r="11" spans="1:19" s="240" customFormat="1" ht="12.75" customHeight="1">
      <c r="A11" s="100" t="s">
        <v>604</v>
      </c>
      <c r="B11" s="46">
        <v>5000</v>
      </c>
      <c r="C11" s="84">
        <v>6152</v>
      </c>
      <c r="D11" s="168">
        <v>22580</v>
      </c>
      <c r="E11" s="160"/>
      <c r="F11" s="84"/>
      <c r="G11" s="168">
        <v>224</v>
      </c>
      <c r="H11" s="160"/>
      <c r="I11" s="84"/>
      <c r="J11" s="168">
        <v>9</v>
      </c>
      <c r="K11" s="160"/>
      <c r="L11" s="84"/>
      <c r="M11" s="168">
        <v>749</v>
      </c>
      <c r="N11" s="160">
        <v>500</v>
      </c>
      <c r="O11" s="84">
        <v>1205</v>
      </c>
      <c r="P11" s="168">
        <v>1205</v>
      </c>
      <c r="Q11" s="239">
        <f t="shared" si="0"/>
        <v>5500</v>
      </c>
      <c r="R11" s="80">
        <f t="shared" si="1"/>
        <v>7357</v>
      </c>
      <c r="S11" s="139">
        <f t="shared" si="1"/>
        <v>24767</v>
      </c>
    </row>
    <row r="12" spans="1:19" s="30" customFormat="1" ht="12.75" customHeight="1">
      <c r="A12" s="140" t="s">
        <v>605</v>
      </c>
      <c r="B12" s="80">
        <f>SUM(B13,B20,B24,B25,B26,B27)</f>
        <v>2049412</v>
      </c>
      <c r="C12" s="83">
        <f>SUM(C13,C20,C24,C25,C26,C27)</f>
        <v>2149827</v>
      </c>
      <c r="D12" s="139">
        <f>SUM(D13,D20,D24,D25,D26,D27)</f>
        <v>2261148</v>
      </c>
      <c r="E12" s="159"/>
      <c r="F12" s="83"/>
      <c r="G12" s="139"/>
      <c r="H12" s="159">
        <f>SUM(H13,H20,H24,H25,H26,H27)</f>
        <v>3000</v>
      </c>
      <c r="I12" s="83">
        <f>SUM(I13,I20,I24,I25,I26,I27)</f>
        <v>2000</v>
      </c>
      <c r="J12" s="139">
        <v>2203</v>
      </c>
      <c r="K12" s="159"/>
      <c r="L12" s="83"/>
      <c r="M12" s="139"/>
      <c r="N12" s="159"/>
      <c r="O12" s="83"/>
      <c r="P12" s="139"/>
      <c r="Q12" s="238">
        <f t="shared" si="0"/>
        <v>2052412</v>
      </c>
      <c r="R12" s="80">
        <f t="shared" si="1"/>
        <v>2151827</v>
      </c>
      <c r="S12" s="139">
        <f>SUM(D12,J12,)</f>
        <v>2263351</v>
      </c>
    </row>
    <row r="13" spans="1:19" s="240" customFormat="1" ht="12.75" customHeight="1">
      <c r="A13" s="100" t="s">
        <v>638</v>
      </c>
      <c r="B13" s="46">
        <f>SUM(B14:B19)</f>
        <v>1317500</v>
      </c>
      <c r="C13" s="84">
        <v>1407500</v>
      </c>
      <c r="D13" s="168">
        <v>1500259</v>
      </c>
      <c r="E13" s="160"/>
      <c r="F13" s="84"/>
      <c r="G13" s="168"/>
      <c r="H13" s="160"/>
      <c r="I13" s="84"/>
      <c r="J13" s="168"/>
      <c r="K13" s="160"/>
      <c r="L13" s="84"/>
      <c r="M13" s="168"/>
      <c r="N13" s="160"/>
      <c r="O13" s="84"/>
      <c r="P13" s="168"/>
      <c r="Q13" s="239">
        <f t="shared" si="0"/>
        <v>1317500</v>
      </c>
      <c r="R13" s="80">
        <f t="shared" si="1"/>
        <v>1407500</v>
      </c>
      <c r="S13" s="139">
        <f t="shared" si="1"/>
        <v>1500259</v>
      </c>
    </row>
    <row r="14" spans="1:19" s="45" customFormat="1" ht="12.75" customHeight="1">
      <c r="A14" s="142" t="s">
        <v>606</v>
      </c>
      <c r="B14" s="60">
        <v>280000</v>
      </c>
      <c r="C14" s="85">
        <v>280000</v>
      </c>
      <c r="D14" s="169">
        <v>282530</v>
      </c>
      <c r="E14" s="161"/>
      <c r="F14" s="85"/>
      <c r="G14" s="169"/>
      <c r="H14" s="161"/>
      <c r="I14" s="85"/>
      <c r="J14" s="169"/>
      <c r="K14" s="161"/>
      <c r="L14" s="85"/>
      <c r="M14" s="169"/>
      <c r="N14" s="161"/>
      <c r="O14" s="85"/>
      <c r="P14" s="169"/>
      <c r="Q14" s="239">
        <f t="shared" si="0"/>
        <v>280000</v>
      </c>
      <c r="R14" s="80">
        <f t="shared" si="1"/>
        <v>280000</v>
      </c>
      <c r="S14" s="139">
        <f t="shared" si="1"/>
        <v>282530</v>
      </c>
    </row>
    <row r="15" spans="1:19" s="45" customFormat="1" ht="12.75" customHeight="1">
      <c r="A15" s="142" t="s">
        <v>607</v>
      </c>
      <c r="B15" s="60">
        <v>70000</v>
      </c>
      <c r="C15" s="85">
        <v>110000</v>
      </c>
      <c r="D15" s="169">
        <v>124528</v>
      </c>
      <c r="E15" s="161"/>
      <c r="F15" s="85"/>
      <c r="G15" s="169"/>
      <c r="H15" s="161"/>
      <c r="I15" s="85"/>
      <c r="J15" s="169"/>
      <c r="K15" s="161"/>
      <c r="L15" s="85"/>
      <c r="M15" s="169"/>
      <c r="N15" s="161"/>
      <c r="O15" s="85"/>
      <c r="P15" s="169"/>
      <c r="Q15" s="239">
        <f t="shared" si="0"/>
        <v>70000</v>
      </c>
      <c r="R15" s="80">
        <f t="shared" si="1"/>
        <v>110000</v>
      </c>
      <c r="S15" s="139">
        <f t="shared" si="1"/>
        <v>124528</v>
      </c>
    </row>
    <row r="16" spans="1:19" s="45" customFormat="1" ht="12.75" customHeight="1">
      <c r="A16" s="142" t="s">
        <v>608</v>
      </c>
      <c r="B16" s="60">
        <v>20000</v>
      </c>
      <c r="C16" s="85">
        <v>20000</v>
      </c>
      <c r="D16" s="169">
        <v>24764</v>
      </c>
      <c r="E16" s="161"/>
      <c r="F16" s="85"/>
      <c r="G16" s="169"/>
      <c r="H16" s="161"/>
      <c r="I16" s="85"/>
      <c r="J16" s="169"/>
      <c r="K16" s="161"/>
      <c r="L16" s="85"/>
      <c r="M16" s="169"/>
      <c r="N16" s="161"/>
      <c r="O16" s="85"/>
      <c r="P16" s="169"/>
      <c r="Q16" s="239">
        <f t="shared" si="0"/>
        <v>20000</v>
      </c>
      <c r="R16" s="80">
        <f t="shared" si="1"/>
        <v>20000</v>
      </c>
      <c r="S16" s="139">
        <f t="shared" si="1"/>
        <v>24764</v>
      </c>
    </row>
    <row r="17" spans="1:19" s="45" customFormat="1" ht="12.75" customHeight="1">
      <c r="A17" s="142" t="s">
        <v>609</v>
      </c>
      <c r="B17" s="60">
        <v>930000</v>
      </c>
      <c r="C17" s="85">
        <v>980000</v>
      </c>
      <c r="D17" s="169">
        <v>1053612</v>
      </c>
      <c r="E17" s="161"/>
      <c r="F17" s="85"/>
      <c r="G17" s="169"/>
      <c r="H17" s="161"/>
      <c r="I17" s="85"/>
      <c r="J17" s="169"/>
      <c r="K17" s="161"/>
      <c r="L17" s="85"/>
      <c r="M17" s="169"/>
      <c r="N17" s="161"/>
      <c r="O17" s="85"/>
      <c r="P17" s="169"/>
      <c r="Q17" s="239">
        <f t="shared" si="0"/>
        <v>930000</v>
      </c>
      <c r="R17" s="80">
        <f t="shared" si="1"/>
        <v>980000</v>
      </c>
      <c r="S17" s="139">
        <f t="shared" si="1"/>
        <v>1053612</v>
      </c>
    </row>
    <row r="18" spans="1:19" s="45" customFormat="1" ht="13.5">
      <c r="A18" s="142" t="s">
        <v>610</v>
      </c>
      <c r="B18" s="38">
        <v>14000</v>
      </c>
      <c r="C18" s="86">
        <v>14000</v>
      </c>
      <c r="D18" s="120">
        <v>13649</v>
      </c>
      <c r="E18" s="162"/>
      <c r="F18" s="86"/>
      <c r="G18" s="120"/>
      <c r="H18" s="162"/>
      <c r="I18" s="86"/>
      <c r="J18" s="120"/>
      <c r="K18" s="162"/>
      <c r="L18" s="86"/>
      <c r="M18" s="120"/>
      <c r="N18" s="162"/>
      <c r="O18" s="86"/>
      <c r="P18" s="120"/>
      <c r="Q18" s="239">
        <f t="shared" si="0"/>
        <v>14000</v>
      </c>
      <c r="R18" s="80">
        <f t="shared" si="1"/>
        <v>14000</v>
      </c>
      <c r="S18" s="139">
        <f t="shared" si="1"/>
        <v>13649</v>
      </c>
    </row>
    <row r="19" spans="1:19" s="45" customFormat="1" ht="19.5" customHeight="1">
      <c r="A19" s="143" t="s">
        <v>611</v>
      </c>
      <c r="B19" s="60">
        <v>3500</v>
      </c>
      <c r="C19" s="85">
        <v>3500</v>
      </c>
      <c r="D19" s="169">
        <v>1176</v>
      </c>
      <c r="E19" s="161"/>
      <c r="F19" s="85"/>
      <c r="G19" s="169"/>
      <c r="H19" s="161"/>
      <c r="I19" s="85"/>
      <c r="J19" s="169"/>
      <c r="K19" s="161"/>
      <c r="L19" s="85"/>
      <c r="M19" s="169"/>
      <c r="N19" s="161"/>
      <c r="O19" s="85"/>
      <c r="P19" s="169"/>
      <c r="Q19" s="239">
        <f t="shared" si="0"/>
        <v>3500</v>
      </c>
      <c r="R19" s="80">
        <f t="shared" si="1"/>
        <v>3500</v>
      </c>
      <c r="S19" s="139">
        <f t="shared" si="1"/>
        <v>1176</v>
      </c>
    </row>
    <row r="20" spans="1:19" s="240" customFormat="1" ht="13.5">
      <c r="A20" s="100" t="s">
        <v>612</v>
      </c>
      <c r="B20" s="27">
        <f>SUM(B21:B23)</f>
        <v>651645</v>
      </c>
      <c r="C20" s="81">
        <v>651645</v>
      </c>
      <c r="D20" s="117">
        <v>664415</v>
      </c>
      <c r="E20" s="163"/>
      <c r="F20" s="81"/>
      <c r="G20" s="117"/>
      <c r="H20" s="163"/>
      <c r="I20" s="81"/>
      <c r="J20" s="117"/>
      <c r="K20" s="163"/>
      <c r="L20" s="81"/>
      <c r="M20" s="117"/>
      <c r="N20" s="163"/>
      <c r="O20" s="81"/>
      <c r="P20" s="117"/>
      <c r="Q20" s="239">
        <f t="shared" si="0"/>
        <v>651645</v>
      </c>
      <c r="R20" s="80">
        <f t="shared" si="1"/>
        <v>651645</v>
      </c>
      <c r="S20" s="139">
        <f t="shared" si="1"/>
        <v>664415</v>
      </c>
    </row>
    <row r="21" spans="1:19" s="45" customFormat="1" ht="13.5">
      <c r="A21" s="142" t="s">
        <v>613</v>
      </c>
      <c r="B21" s="38">
        <v>376345</v>
      </c>
      <c r="C21" s="86">
        <v>376345</v>
      </c>
      <c r="D21" s="120">
        <v>376345</v>
      </c>
      <c r="E21" s="162"/>
      <c r="F21" s="86"/>
      <c r="G21" s="120"/>
      <c r="H21" s="162"/>
      <c r="I21" s="86"/>
      <c r="J21" s="120"/>
      <c r="K21" s="162"/>
      <c r="L21" s="86"/>
      <c r="M21" s="120"/>
      <c r="N21" s="162"/>
      <c r="O21" s="86"/>
      <c r="P21" s="120"/>
      <c r="Q21" s="239">
        <f t="shared" si="0"/>
        <v>376345</v>
      </c>
      <c r="R21" s="80">
        <f t="shared" si="1"/>
        <v>376345</v>
      </c>
      <c r="S21" s="139">
        <f t="shared" si="1"/>
        <v>376345</v>
      </c>
    </row>
    <row r="22" spans="1:19" s="45" customFormat="1" ht="13.5">
      <c r="A22" s="142" t="s">
        <v>614</v>
      </c>
      <c r="B22" s="38">
        <v>275000</v>
      </c>
      <c r="C22" s="86">
        <v>275000</v>
      </c>
      <c r="D22" s="120">
        <v>287848</v>
      </c>
      <c r="E22" s="162"/>
      <c r="F22" s="86"/>
      <c r="G22" s="120"/>
      <c r="H22" s="162"/>
      <c r="I22" s="86"/>
      <c r="J22" s="120"/>
      <c r="K22" s="162"/>
      <c r="L22" s="86"/>
      <c r="M22" s="120"/>
      <c r="N22" s="162"/>
      <c r="O22" s="86"/>
      <c r="P22" s="120"/>
      <c r="Q22" s="239">
        <f t="shared" si="0"/>
        <v>275000</v>
      </c>
      <c r="R22" s="80">
        <f t="shared" si="1"/>
        <v>275000</v>
      </c>
      <c r="S22" s="139">
        <f t="shared" si="1"/>
        <v>287848</v>
      </c>
    </row>
    <row r="23" spans="1:19" s="45" customFormat="1" ht="13.5">
      <c r="A23" s="142" t="s">
        <v>615</v>
      </c>
      <c r="B23" s="38">
        <v>300</v>
      </c>
      <c r="C23" s="86">
        <v>300</v>
      </c>
      <c r="D23" s="120">
        <v>222</v>
      </c>
      <c r="E23" s="162"/>
      <c r="F23" s="86"/>
      <c r="G23" s="120"/>
      <c r="H23" s="162"/>
      <c r="I23" s="86"/>
      <c r="J23" s="120"/>
      <c r="K23" s="162"/>
      <c r="L23" s="86"/>
      <c r="M23" s="120"/>
      <c r="N23" s="162"/>
      <c r="O23" s="86"/>
      <c r="P23" s="120"/>
      <c r="Q23" s="239">
        <f t="shared" si="0"/>
        <v>300</v>
      </c>
      <c r="R23" s="80">
        <f t="shared" si="1"/>
        <v>300</v>
      </c>
      <c r="S23" s="139">
        <f t="shared" si="1"/>
        <v>222</v>
      </c>
    </row>
    <row r="24" spans="1:19" s="240" customFormat="1" ht="13.5">
      <c r="A24" s="100" t="s">
        <v>829</v>
      </c>
      <c r="B24" s="27"/>
      <c r="C24" s="81"/>
      <c r="D24" s="117">
        <v>3711</v>
      </c>
      <c r="E24" s="163"/>
      <c r="F24" s="81"/>
      <c r="G24" s="117"/>
      <c r="H24" s="163">
        <v>3000</v>
      </c>
      <c r="I24" s="81">
        <v>2000</v>
      </c>
      <c r="J24" s="117">
        <v>2203</v>
      </c>
      <c r="K24" s="163"/>
      <c r="L24" s="81"/>
      <c r="M24" s="117"/>
      <c r="N24" s="163"/>
      <c r="O24" s="81"/>
      <c r="P24" s="117"/>
      <c r="Q24" s="239">
        <f t="shared" si="0"/>
        <v>3000</v>
      </c>
      <c r="R24" s="80">
        <f t="shared" si="1"/>
        <v>2000</v>
      </c>
      <c r="S24" s="139">
        <f t="shared" si="1"/>
        <v>5914</v>
      </c>
    </row>
    <row r="25" spans="1:19" s="240" customFormat="1" ht="13.5">
      <c r="A25" s="100" t="s">
        <v>655</v>
      </c>
      <c r="B25" s="27">
        <v>3000</v>
      </c>
      <c r="C25" s="81">
        <v>3000</v>
      </c>
      <c r="D25" s="117">
        <v>4569</v>
      </c>
      <c r="E25" s="163"/>
      <c r="F25" s="81"/>
      <c r="G25" s="117"/>
      <c r="H25" s="163"/>
      <c r="I25" s="81"/>
      <c r="J25" s="117"/>
      <c r="K25" s="163"/>
      <c r="L25" s="81"/>
      <c r="M25" s="117"/>
      <c r="N25" s="163"/>
      <c r="O25" s="81"/>
      <c r="P25" s="117"/>
      <c r="Q25" s="241">
        <f t="shared" si="0"/>
        <v>3000</v>
      </c>
      <c r="R25" s="80">
        <f t="shared" si="1"/>
        <v>3000</v>
      </c>
      <c r="S25" s="139">
        <f t="shared" si="1"/>
        <v>4569</v>
      </c>
    </row>
    <row r="26" spans="1:19" s="240" customFormat="1" ht="13.5">
      <c r="A26" s="100" t="s">
        <v>616</v>
      </c>
      <c r="B26" s="27">
        <v>38027</v>
      </c>
      <c r="C26" s="81">
        <v>32692</v>
      </c>
      <c r="D26" s="117">
        <v>33191</v>
      </c>
      <c r="E26" s="163"/>
      <c r="F26" s="81"/>
      <c r="G26" s="117"/>
      <c r="H26" s="163"/>
      <c r="I26" s="81"/>
      <c r="J26" s="117"/>
      <c r="K26" s="163"/>
      <c r="L26" s="81"/>
      <c r="M26" s="117"/>
      <c r="N26" s="163"/>
      <c r="O26" s="81"/>
      <c r="P26" s="117"/>
      <c r="Q26" s="241">
        <f t="shared" si="0"/>
        <v>38027</v>
      </c>
      <c r="R26" s="80">
        <f t="shared" si="1"/>
        <v>32692</v>
      </c>
      <c r="S26" s="139">
        <f t="shared" si="1"/>
        <v>33191</v>
      </c>
    </row>
    <row r="27" spans="1:19" s="240" customFormat="1" ht="13.5">
      <c r="A27" s="100" t="s">
        <v>657</v>
      </c>
      <c r="B27" s="27">
        <v>39240</v>
      </c>
      <c r="C27" s="81">
        <v>54990</v>
      </c>
      <c r="D27" s="117">
        <v>55003</v>
      </c>
      <c r="E27" s="163"/>
      <c r="F27" s="81"/>
      <c r="G27" s="117"/>
      <c r="H27" s="163"/>
      <c r="I27" s="81"/>
      <c r="J27" s="117"/>
      <c r="K27" s="163"/>
      <c r="L27" s="81"/>
      <c r="M27" s="117"/>
      <c r="N27" s="163"/>
      <c r="O27" s="81"/>
      <c r="P27" s="117"/>
      <c r="Q27" s="241">
        <f t="shared" si="0"/>
        <v>39240</v>
      </c>
      <c r="R27" s="80">
        <f t="shared" si="1"/>
        <v>54990</v>
      </c>
      <c r="S27" s="139">
        <f t="shared" si="1"/>
        <v>55003</v>
      </c>
    </row>
    <row r="28" spans="1:19" s="31" customFormat="1" ht="12.75">
      <c r="A28" s="99" t="s">
        <v>740</v>
      </c>
      <c r="B28" s="28">
        <f>SUM(B29:B32)</f>
        <v>975132</v>
      </c>
      <c r="C28" s="87">
        <f>SUM(C29:C32)</f>
        <v>1030375</v>
      </c>
      <c r="D28" s="119">
        <f>SUM(D29:D32)</f>
        <v>1030375</v>
      </c>
      <c r="E28" s="164"/>
      <c r="F28" s="87"/>
      <c r="G28" s="119"/>
      <c r="H28" s="164"/>
      <c r="I28" s="87"/>
      <c r="J28" s="119"/>
      <c r="K28" s="164"/>
      <c r="L28" s="87"/>
      <c r="M28" s="119"/>
      <c r="N28" s="164"/>
      <c r="O28" s="87"/>
      <c r="P28" s="119"/>
      <c r="Q28" s="242">
        <f t="shared" si="0"/>
        <v>975132</v>
      </c>
      <c r="R28" s="1317">
        <f t="shared" si="1"/>
        <v>1030375</v>
      </c>
      <c r="S28" s="146">
        <f t="shared" si="1"/>
        <v>1030375</v>
      </c>
    </row>
    <row r="29" spans="1:19" s="240" customFormat="1" ht="13.5">
      <c r="A29" s="100" t="s">
        <v>773</v>
      </c>
      <c r="B29" s="27">
        <v>861384</v>
      </c>
      <c r="C29" s="81">
        <v>870089</v>
      </c>
      <c r="D29" s="117">
        <v>870089</v>
      </c>
      <c r="E29" s="163"/>
      <c r="F29" s="81"/>
      <c r="G29" s="117"/>
      <c r="H29" s="163"/>
      <c r="I29" s="81"/>
      <c r="J29" s="117"/>
      <c r="K29" s="163"/>
      <c r="L29" s="81"/>
      <c r="M29" s="117"/>
      <c r="N29" s="163"/>
      <c r="O29" s="81"/>
      <c r="P29" s="117"/>
      <c r="Q29" s="239">
        <f t="shared" si="0"/>
        <v>861384</v>
      </c>
      <c r="R29" s="80">
        <f t="shared" si="1"/>
        <v>870089</v>
      </c>
      <c r="S29" s="139">
        <f t="shared" si="1"/>
        <v>870089</v>
      </c>
    </row>
    <row r="30" spans="1:19" s="45" customFormat="1" ht="13.5">
      <c r="A30" s="144" t="s">
        <v>774</v>
      </c>
      <c r="B30" s="36">
        <v>113710</v>
      </c>
      <c r="C30" s="88">
        <v>85936</v>
      </c>
      <c r="D30" s="118">
        <v>85936</v>
      </c>
      <c r="E30" s="165"/>
      <c r="F30" s="88"/>
      <c r="G30" s="118"/>
      <c r="H30" s="165"/>
      <c r="I30" s="88"/>
      <c r="J30" s="118"/>
      <c r="K30" s="165"/>
      <c r="L30" s="88"/>
      <c r="M30" s="118"/>
      <c r="N30" s="165"/>
      <c r="O30" s="88"/>
      <c r="P30" s="118"/>
      <c r="Q30" s="239">
        <f t="shared" si="0"/>
        <v>113710</v>
      </c>
      <c r="R30" s="80">
        <f t="shared" si="1"/>
        <v>85936</v>
      </c>
      <c r="S30" s="139">
        <f t="shared" si="1"/>
        <v>85936</v>
      </c>
    </row>
    <row r="31" spans="1:19" s="45" customFormat="1" ht="25.5">
      <c r="A31" s="144" t="s">
        <v>522</v>
      </c>
      <c r="B31" s="36">
        <v>38</v>
      </c>
      <c r="C31" s="88">
        <v>310</v>
      </c>
      <c r="D31" s="118">
        <v>310</v>
      </c>
      <c r="E31" s="165"/>
      <c r="F31" s="88"/>
      <c r="G31" s="118"/>
      <c r="H31" s="165"/>
      <c r="I31" s="88"/>
      <c r="J31" s="118"/>
      <c r="K31" s="165"/>
      <c r="L31" s="88"/>
      <c r="M31" s="118"/>
      <c r="N31" s="165"/>
      <c r="O31" s="88"/>
      <c r="P31" s="118"/>
      <c r="Q31" s="239">
        <f t="shared" si="0"/>
        <v>38</v>
      </c>
      <c r="R31" s="80">
        <f t="shared" si="1"/>
        <v>310</v>
      </c>
      <c r="S31" s="139">
        <f t="shared" si="1"/>
        <v>310</v>
      </c>
    </row>
    <row r="32" spans="1:19" s="240" customFormat="1" ht="13.5">
      <c r="A32" s="100" t="s">
        <v>620</v>
      </c>
      <c r="B32" s="36"/>
      <c r="C32" s="88">
        <v>74040</v>
      </c>
      <c r="D32" s="118">
        <v>74040</v>
      </c>
      <c r="E32" s="165"/>
      <c r="F32" s="88"/>
      <c r="G32" s="118"/>
      <c r="H32" s="165"/>
      <c r="I32" s="88"/>
      <c r="J32" s="118"/>
      <c r="K32" s="165"/>
      <c r="L32" s="88"/>
      <c r="M32" s="118"/>
      <c r="N32" s="165"/>
      <c r="O32" s="88"/>
      <c r="P32" s="118"/>
      <c r="Q32" s="239">
        <f t="shared" si="0"/>
        <v>0</v>
      </c>
      <c r="R32" s="80">
        <f t="shared" si="1"/>
        <v>74040</v>
      </c>
      <c r="S32" s="139">
        <f t="shared" si="1"/>
        <v>74040</v>
      </c>
    </row>
    <row r="33" spans="1:19" s="31" customFormat="1" ht="12.75">
      <c r="A33" s="99" t="s">
        <v>617</v>
      </c>
      <c r="B33" s="28">
        <f>SUM(B34:B36)</f>
        <v>117243</v>
      </c>
      <c r="C33" s="87">
        <f>SUM(C34:C36)</f>
        <v>139818</v>
      </c>
      <c r="D33" s="119">
        <f>SUM(D34:D36)</f>
        <v>135468</v>
      </c>
      <c r="E33" s="164">
        <f>SUM(E34:E36)</f>
        <v>12740</v>
      </c>
      <c r="F33" s="87">
        <v>12740</v>
      </c>
      <c r="G33" s="119">
        <v>12740</v>
      </c>
      <c r="H33" s="164"/>
      <c r="I33" s="87"/>
      <c r="J33" s="119"/>
      <c r="K33" s="164">
        <f aca="true" t="shared" si="2" ref="K33:P33">SUM(K34:K36)</f>
        <v>50135</v>
      </c>
      <c r="L33" s="87">
        <f t="shared" si="2"/>
        <v>73182</v>
      </c>
      <c r="M33" s="119">
        <f t="shared" si="2"/>
        <v>72235</v>
      </c>
      <c r="N33" s="164">
        <f t="shared" si="2"/>
        <v>752500</v>
      </c>
      <c r="O33" s="87">
        <f t="shared" si="2"/>
        <v>262501</v>
      </c>
      <c r="P33" s="119">
        <f t="shared" si="2"/>
        <v>262500</v>
      </c>
      <c r="Q33" s="242">
        <f t="shared" si="0"/>
        <v>932618</v>
      </c>
      <c r="R33" s="1317">
        <f t="shared" si="1"/>
        <v>488241</v>
      </c>
      <c r="S33" s="146">
        <f t="shared" si="1"/>
        <v>482943</v>
      </c>
    </row>
    <row r="34" spans="1:19" s="240" customFormat="1" ht="13.5">
      <c r="A34" s="100" t="s">
        <v>800</v>
      </c>
      <c r="B34" s="27">
        <f>120683-12740</f>
        <v>107943</v>
      </c>
      <c r="C34" s="81">
        <v>126871</v>
      </c>
      <c r="D34" s="117">
        <v>130363</v>
      </c>
      <c r="E34" s="163">
        <v>12740</v>
      </c>
      <c r="F34" s="81">
        <v>12740</v>
      </c>
      <c r="G34" s="117">
        <v>12740</v>
      </c>
      <c r="H34" s="163"/>
      <c r="I34" s="81"/>
      <c r="J34" s="117"/>
      <c r="K34" s="163">
        <v>46595</v>
      </c>
      <c r="L34" s="81">
        <v>59009</v>
      </c>
      <c r="M34" s="117">
        <v>58371</v>
      </c>
      <c r="N34" s="163">
        <v>8500</v>
      </c>
      <c r="O34" s="81">
        <v>4329</v>
      </c>
      <c r="P34" s="117">
        <v>4249</v>
      </c>
      <c r="Q34" s="241">
        <f t="shared" si="0"/>
        <v>175778</v>
      </c>
      <c r="R34" s="80">
        <f t="shared" si="1"/>
        <v>202949</v>
      </c>
      <c r="S34" s="139">
        <f t="shared" si="1"/>
        <v>205723</v>
      </c>
    </row>
    <row r="35" spans="1:19" s="240" customFormat="1" ht="13.5">
      <c r="A35" s="100" t="s">
        <v>618</v>
      </c>
      <c r="B35" s="27"/>
      <c r="C35" s="81">
        <v>3286</v>
      </c>
      <c r="D35" s="117">
        <v>3290</v>
      </c>
      <c r="E35" s="163"/>
      <c r="F35" s="81"/>
      <c r="G35" s="117"/>
      <c r="H35" s="163"/>
      <c r="I35" s="81"/>
      <c r="J35" s="117"/>
      <c r="K35" s="163"/>
      <c r="L35" s="81"/>
      <c r="M35" s="117"/>
      <c r="N35" s="163">
        <v>744000</v>
      </c>
      <c r="O35" s="81">
        <v>258172</v>
      </c>
      <c r="P35" s="117">
        <v>258172</v>
      </c>
      <c r="Q35" s="241">
        <f t="shared" si="0"/>
        <v>744000</v>
      </c>
      <c r="R35" s="80">
        <f t="shared" si="1"/>
        <v>261458</v>
      </c>
      <c r="S35" s="139">
        <f t="shared" si="1"/>
        <v>261462</v>
      </c>
    </row>
    <row r="36" spans="1:19" s="240" customFormat="1" ht="13.5">
      <c r="A36" s="100" t="s">
        <v>641</v>
      </c>
      <c r="B36" s="27">
        <v>9300</v>
      </c>
      <c r="C36" s="81">
        <v>9661</v>
      </c>
      <c r="D36" s="117">
        <v>1815</v>
      </c>
      <c r="E36" s="163"/>
      <c r="F36" s="81"/>
      <c r="G36" s="117"/>
      <c r="H36" s="163"/>
      <c r="I36" s="81"/>
      <c r="J36" s="117"/>
      <c r="K36" s="163">
        <v>3540</v>
      </c>
      <c r="L36" s="81">
        <v>14173</v>
      </c>
      <c r="M36" s="117">
        <v>13864</v>
      </c>
      <c r="N36" s="163"/>
      <c r="O36" s="81"/>
      <c r="P36" s="117">
        <v>79</v>
      </c>
      <c r="Q36" s="241">
        <f t="shared" si="0"/>
        <v>12840</v>
      </c>
      <c r="R36" s="80">
        <f t="shared" si="1"/>
        <v>23834</v>
      </c>
      <c r="S36" s="139">
        <f t="shared" si="1"/>
        <v>15758</v>
      </c>
    </row>
    <row r="37" spans="1:19" ht="12.75">
      <c r="A37" s="145" t="s">
        <v>619</v>
      </c>
      <c r="B37" s="28">
        <f>SUM(B38:B43)</f>
        <v>354432</v>
      </c>
      <c r="C37" s="87">
        <f>SUM(C38:C45)</f>
        <v>255504</v>
      </c>
      <c r="D37" s="119">
        <f>SUM(D38:D45)</f>
        <v>263181</v>
      </c>
      <c r="E37" s="164"/>
      <c r="F37" s="87">
        <v>18515</v>
      </c>
      <c r="G37" s="119">
        <v>14983</v>
      </c>
      <c r="H37" s="164"/>
      <c r="I37" s="87"/>
      <c r="J37" s="119"/>
      <c r="K37" s="164">
        <f>SUM(K38:K43)</f>
        <v>750</v>
      </c>
      <c r="L37" s="87">
        <f>SUM(L38:L43)</f>
        <v>750</v>
      </c>
      <c r="M37" s="119">
        <v>750</v>
      </c>
      <c r="N37" s="164"/>
      <c r="O37" s="87"/>
      <c r="P37" s="119"/>
      <c r="Q37" s="242">
        <f t="shared" si="0"/>
        <v>355182</v>
      </c>
      <c r="R37" s="1317">
        <f t="shared" si="1"/>
        <v>274769</v>
      </c>
      <c r="S37" s="146">
        <f t="shared" si="1"/>
        <v>278914</v>
      </c>
    </row>
    <row r="38" spans="1:19" s="240" customFormat="1" ht="13.5">
      <c r="A38" s="100" t="s">
        <v>799</v>
      </c>
      <c r="B38" s="27">
        <v>472</v>
      </c>
      <c r="C38" s="81"/>
      <c r="D38" s="117"/>
      <c r="E38" s="163"/>
      <c r="F38" s="81"/>
      <c r="G38" s="117"/>
      <c r="H38" s="163"/>
      <c r="I38" s="81"/>
      <c r="J38" s="117"/>
      <c r="K38" s="163">
        <v>750</v>
      </c>
      <c r="L38" s="81">
        <v>750</v>
      </c>
      <c r="M38" s="117">
        <v>750</v>
      </c>
      <c r="N38" s="163"/>
      <c r="O38" s="81"/>
      <c r="P38" s="117"/>
      <c r="Q38" s="241">
        <f t="shared" si="0"/>
        <v>1222</v>
      </c>
      <c r="R38" s="80">
        <f t="shared" si="1"/>
        <v>750</v>
      </c>
      <c r="S38" s="139">
        <f t="shared" si="1"/>
        <v>750</v>
      </c>
    </row>
    <row r="39" spans="1:19" s="240" customFormat="1" ht="13.5">
      <c r="A39" s="100" t="s">
        <v>763</v>
      </c>
      <c r="B39" s="27">
        <v>132254</v>
      </c>
      <c r="C39" s="81">
        <v>68111</v>
      </c>
      <c r="D39" s="117">
        <v>68109</v>
      </c>
      <c r="E39" s="163"/>
      <c r="F39" s="81">
        <v>18515</v>
      </c>
      <c r="G39" s="117">
        <v>14983</v>
      </c>
      <c r="H39" s="163"/>
      <c r="I39" s="81"/>
      <c r="J39" s="117"/>
      <c r="K39" s="163"/>
      <c r="L39" s="81"/>
      <c r="M39" s="117"/>
      <c r="N39" s="163"/>
      <c r="O39" s="81"/>
      <c r="P39" s="117"/>
      <c r="Q39" s="241">
        <f t="shared" si="0"/>
        <v>132254</v>
      </c>
      <c r="R39" s="80">
        <f t="shared" si="1"/>
        <v>86626</v>
      </c>
      <c r="S39" s="139">
        <f t="shared" si="1"/>
        <v>83092</v>
      </c>
    </row>
    <row r="40" spans="1:19" s="240" customFormat="1" ht="13.5">
      <c r="A40" s="100" t="s">
        <v>748</v>
      </c>
      <c r="B40" s="27">
        <v>169500</v>
      </c>
      <c r="C40" s="81">
        <v>33980</v>
      </c>
      <c r="D40" s="117">
        <v>33980</v>
      </c>
      <c r="E40" s="163"/>
      <c r="F40" s="81"/>
      <c r="G40" s="117"/>
      <c r="H40" s="163"/>
      <c r="I40" s="81"/>
      <c r="J40" s="117"/>
      <c r="K40" s="163"/>
      <c r="L40" s="81"/>
      <c r="M40" s="117"/>
      <c r="N40" s="163"/>
      <c r="O40" s="81"/>
      <c r="P40" s="117"/>
      <c r="Q40" s="241">
        <f t="shared" si="0"/>
        <v>169500</v>
      </c>
      <c r="R40" s="80">
        <f t="shared" si="1"/>
        <v>33980</v>
      </c>
      <c r="S40" s="139">
        <f t="shared" si="1"/>
        <v>33980</v>
      </c>
    </row>
    <row r="41" spans="1:19" s="240" customFormat="1" ht="13.5">
      <c r="A41" s="100" t="s">
        <v>644</v>
      </c>
      <c r="B41" s="27">
        <v>16236</v>
      </c>
      <c r="C41" s="81">
        <v>7146</v>
      </c>
      <c r="D41" s="117">
        <v>7144</v>
      </c>
      <c r="E41" s="163"/>
      <c r="F41" s="81"/>
      <c r="G41" s="117"/>
      <c r="H41" s="163"/>
      <c r="I41" s="81"/>
      <c r="J41" s="117"/>
      <c r="K41" s="163"/>
      <c r="L41" s="81"/>
      <c r="M41" s="117"/>
      <c r="N41" s="163"/>
      <c r="O41" s="81"/>
      <c r="P41" s="117"/>
      <c r="Q41" s="241">
        <f t="shared" si="0"/>
        <v>16236</v>
      </c>
      <c r="R41" s="80">
        <f t="shared" si="1"/>
        <v>7146</v>
      </c>
      <c r="S41" s="139">
        <f t="shared" si="1"/>
        <v>7144</v>
      </c>
    </row>
    <row r="42" spans="1:19" s="240" customFormat="1" ht="13.5">
      <c r="A42" s="100" t="s">
        <v>621</v>
      </c>
      <c r="B42" s="27">
        <v>35300</v>
      </c>
      <c r="C42" s="81">
        <v>11859</v>
      </c>
      <c r="D42" s="117">
        <v>11863</v>
      </c>
      <c r="E42" s="163"/>
      <c r="F42" s="81"/>
      <c r="G42" s="117"/>
      <c r="H42" s="163"/>
      <c r="I42" s="81"/>
      <c r="J42" s="117"/>
      <c r="K42" s="163"/>
      <c r="L42" s="81"/>
      <c r="M42" s="117"/>
      <c r="N42" s="163"/>
      <c r="O42" s="81"/>
      <c r="P42" s="117"/>
      <c r="Q42" s="241">
        <f t="shared" si="0"/>
        <v>35300</v>
      </c>
      <c r="R42" s="80">
        <f t="shared" si="1"/>
        <v>11859</v>
      </c>
      <c r="S42" s="139">
        <f t="shared" si="1"/>
        <v>11863</v>
      </c>
    </row>
    <row r="43" spans="1:19" s="240" customFormat="1" ht="13.5">
      <c r="A43" s="147" t="s">
        <v>622</v>
      </c>
      <c r="B43" s="27">
        <v>670</v>
      </c>
      <c r="C43" s="81">
        <v>4408</v>
      </c>
      <c r="D43" s="117">
        <v>11661</v>
      </c>
      <c r="E43" s="163"/>
      <c r="F43" s="81"/>
      <c r="G43" s="117"/>
      <c r="H43" s="163"/>
      <c r="I43" s="81"/>
      <c r="J43" s="117"/>
      <c r="K43" s="163"/>
      <c r="L43" s="81"/>
      <c r="M43" s="117"/>
      <c r="N43" s="163"/>
      <c r="O43" s="81"/>
      <c r="P43" s="117"/>
      <c r="Q43" s="241">
        <f t="shared" si="0"/>
        <v>670</v>
      </c>
      <c r="R43" s="80">
        <f t="shared" si="1"/>
        <v>4408</v>
      </c>
      <c r="S43" s="139">
        <f t="shared" si="1"/>
        <v>11661</v>
      </c>
    </row>
    <row r="44" spans="1:19" s="240" customFormat="1" ht="13.5">
      <c r="A44" s="147" t="s">
        <v>548</v>
      </c>
      <c r="B44" s="27"/>
      <c r="C44" s="81"/>
      <c r="D44" s="117">
        <v>424</v>
      </c>
      <c r="E44" s="163"/>
      <c r="F44" s="81"/>
      <c r="G44" s="117"/>
      <c r="H44" s="163"/>
      <c r="I44" s="81"/>
      <c r="J44" s="117"/>
      <c r="K44" s="163"/>
      <c r="L44" s="81"/>
      <c r="M44" s="117"/>
      <c r="N44" s="163"/>
      <c r="O44" s="81"/>
      <c r="P44" s="117"/>
      <c r="Q44" s="241"/>
      <c r="R44" s="80"/>
      <c r="S44" s="139">
        <f t="shared" si="1"/>
        <v>424</v>
      </c>
    </row>
    <row r="45" spans="1:19" s="240" customFormat="1" ht="13.5">
      <c r="A45" s="147" t="s">
        <v>825</v>
      </c>
      <c r="B45" s="27"/>
      <c r="C45" s="81">
        <v>130000</v>
      </c>
      <c r="D45" s="117">
        <v>130000</v>
      </c>
      <c r="E45" s="163"/>
      <c r="F45" s="81"/>
      <c r="G45" s="117"/>
      <c r="H45" s="163"/>
      <c r="I45" s="81"/>
      <c r="J45" s="117"/>
      <c r="K45" s="163"/>
      <c r="L45" s="81"/>
      <c r="M45" s="117"/>
      <c r="N45" s="163"/>
      <c r="O45" s="81"/>
      <c r="P45" s="117"/>
      <c r="Q45" s="241"/>
      <c r="R45" s="80">
        <f aca="true" t="shared" si="3" ref="R45:S61">SUM(C45,F45,I45,L45,O45)</f>
        <v>130000</v>
      </c>
      <c r="S45" s="139">
        <f t="shared" si="3"/>
        <v>130000</v>
      </c>
    </row>
    <row r="46" spans="1:19" s="31" customFormat="1" ht="12.75">
      <c r="A46" s="145" t="s">
        <v>646</v>
      </c>
      <c r="B46" s="28">
        <f>SUM(B48,B47)</f>
        <v>2703074</v>
      </c>
      <c r="C46" s="87">
        <f>SUM(C48,C47)</f>
        <v>122364</v>
      </c>
      <c r="D46" s="119">
        <f>SUM(D48,D47)</f>
        <v>97639</v>
      </c>
      <c r="E46" s="164"/>
      <c r="F46" s="87"/>
      <c r="G46" s="119"/>
      <c r="H46" s="164"/>
      <c r="I46" s="87"/>
      <c r="J46" s="119"/>
      <c r="K46" s="164"/>
      <c r="L46" s="87"/>
      <c r="M46" s="119"/>
      <c r="N46" s="164"/>
      <c r="O46" s="87">
        <f>SUM(O48,O47)</f>
        <v>500</v>
      </c>
      <c r="P46" s="119">
        <v>500</v>
      </c>
      <c r="Q46" s="242">
        <f aca="true" t="shared" si="4" ref="Q46:Q61">SUM(B46,E46,H46,K46,N46)</f>
        <v>2703074</v>
      </c>
      <c r="R46" s="1317">
        <f t="shared" si="3"/>
        <v>122864</v>
      </c>
      <c r="S46" s="146">
        <f t="shared" si="3"/>
        <v>98139</v>
      </c>
    </row>
    <row r="47" spans="1:19" s="240" customFormat="1" ht="13.5">
      <c r="A47" s="147" t="s">
        <v>775</v>
      </c>
      <c r="B47" s="27"/>
      <c r="C47" s="81">
        <v>60</v>
      </c>
      <c r="D47" s="117">
        <v>60</v>
      </c>
      <c r="E47" s="163"/>
      <c r="F47" s="81"/>
      <c r="G47" s="117"/>
      <c r="H47" s="163"/>
      <c r="I47" s="81"/>
      <c r="J47" s="117"/>
      <c r="K47" s="163"/>
      <c r="L47" s="81"/>
      <c r="M47" s="117"/>
      <c r="N47" s="163"/>
      <c r="O47" s="81"/>
      <c r="P47" s="117"/>
      <c r="Q47" s="241">
        <f t="shared" si="4"/>
        <v>0</v>
      </c>
      <c r="R47" s="80">
        <f t="shared" si="3"/>
        <v>60</v>
      </c>
      <c r="S47" s="139">
        <f t="shared" si="3"/>
        <v>60</v>
      </c>
    </row>
    <row r="48" spans="1:19" s="240" customFormat="1" ht="13.5">
      <c r="A48" s="147" t="s">
        <v>649</v>
      </c>
      <c r="B48" s="27">
        <f>SUM(B49:B51)</f>
        <v>2703074</v>
      </c>
      <c r="C48" s="81">
        <v>122304</v>
      </c>
      <c r="D48" s="117">
        <v>97579</v>
      </c>
      <c r="E48" s="163"/>
      <c r="F48" s="81"/>
      <c r="G48" s="117"/>
      <c r="H48" s="163"/>
      <c r="I48" s="81"/>
      <c r="J48" s="117"/>
      <c r="K48" s="163"/>
      <c r="L48" s="81"/>
      <c r="M48" s="117"/>
      <c r="N48" s="163"/>
      <c r="O48" s="81">
        <v>500</v>
      </c>
      <c r="P48" s="117">
        <v>500</v>
      </c>
      <c r="Q48" s="241">
        <f t="shared" si="4"/>
        <v>2703074</v>
      </c>
      <c r="R48" s="80">
        <f t="shared" si="3"/>
        <v>122804</v>
      </c>
      <c r="S48" s="139">
        <f t="shared" si="3"/>
        <v>98079</v>
      </c>
    </row>
    <row r="49" spans="1:19" s="45" customFormat="1" ht="13.5">
      <c r="A49" s="148" t="s">
        <v>653</v>
      </c>
      <c r="B49" s="61">
        <v>1103231</v>
      </c>
      <c r="C49" s="89">
        <v>116503</v>
      </c>
      <c r="D49" s="170">
        <v>91626</v>
      </c>
      <c r="E49" s="166"/>
      <c r="F49" s="89"/>
      <c r="G49" s="170"/>
      <c r="H49" s="166"/>
      <c r="I49" s="89"/>
      <c r="J49" s="170"/>
      <c r="K49" s="166"/>
      <c r="L49" s="89"/>
      <c r="M49" s="170"/>
      <c r="N49" s="166"/>
      <c r="O49" s="89"/>
      <c r="P49" s="170"/>
      <c r="Q49" s="239">
        <f t="shared" si="4"/>
        <v>1103231</v>
      </c>
      <c r="R49" s="80">
        <f t="shared" si="3"/>
        <v>116503</v>
      </c>
      <c r="S49" s="139">
        <v>91626</v>
      </c>
    </row>
    <row r="50" spans="1:19" s="45" customFormat="1" ht="25.5" customHeight="1">
      <c r="A50" s="149" t="s">
        <v>531</v>
      </c>
      <c r="B50" s="61">
        <v>1588643</v>
      </c>
      <c r="C50" s="89"/>
      <c r="D50" s="170"/>
      <c r="E50" s="166"/>
      <c r="F50" s="89"/>
      <c r="G50" s="170"/>
      <c r="H50" s="166"/>
      <c r="I50" s="89"/>
      <c r="J50" s="170"/>
      <c r="K50" s="166"/>
      <c r="L50" s="89"/>
      <c r="M50" s="170"/>
      <c r="N50" s="166"/>
      <c r="O50" s="89"/>
      <c r="P50" s="170"/>
      <c r="Q50" s="239">
        <f t="shared" si="4"/>
        <v>1588643</v>
      </c>
      <c r="R50" s="80">
        <f t="shared" si="3"/>
        <v>0</v>
      </c>
      <c r="S50" s="139">
        <f t="shared" si="3"/>
        <v>0</v>
      </c>
    </row>
    <row r="51" spans="1:19" s="45" customFormat="1" ht="13.5">
      <c r="A51" s="148" t="s">
        <v>623</v>
      </c>
      <c r="B51" s="61">
        <v>11200</v>
      </c>
      <c r="C51" s="89">
        <v>6801</v>
      </c>
      <c r="D51" s="170">
        <v>5953</v>
      </c>
      <c r="E51" s="166"/>
      <c r="F51" s="89"/>
      <c r="G51" s="170"/>
      <c r="H51" s="166"/>
      <c r="I51" s="89"/>
      <c r="J51" s="170"/>
      <c r="K51" s="166"/>
      <c r="L51" s="89"/>
      <c r="M51" s="170"/>
      <c r="N51" s="166"/>
      <c r="O51" s="89">
        <v>500</v>
      </c>
      <c r="P51" s="170">
        <v>500</v>
      </c>
      <c r="Q51" s="239">
        <f t="shared" si="4"/>
        <v>11200</v>
      </c>
      <c r="R51" s="80">
        <f t="shared" si="3"/>
        <v>7301</v>
      </c>
      <c r="S51" s="139">
        <v>6453</v>
      </c>
    </row>
    <row r="52" spans="1:19" s="31" customFormat="1" ht="12.75">
      <c r="A52" s="145" t="s">
        <v>624</v>
      </c>
      <c r="B52" s="28">
        <v>85200</v>
      </c>
      <c r="C52" s="87">
        <v>89000</v>
      </c>
      <c r="D52" s="119">
        <v>18523</v>
      </c>
      <c r="E52" s="164">
        <v>1500</v>
      </c>
      <c r="F52" s="87">
        <v>1500</v>
      </c>
      <c r="G52" s="119">
        <v>1624</v>
      </c>
      <c r="H52" s="164"/>
      <c r="I52" s="87"/>
      <c r="J52" s="119"/>
      <c r="K52" s="164"/>
      <c r="L52" s="87"/>
      <c r="M52" s="119"/>
      <c r="N52" s="164"/>
      <c r="O52" s="87"/>
      <c r="P52" s="119"/>
      <c r="Q52" s="242">
        <f t="shared" si="4"/>
        <v>86700</v>
      </c>
      <c r="R52" s="1317">
        <f t="shared" si="3"/>
        <v>90500</v>
      </c>
      <c r="S52" s="146">
        <f t="shared" si="3"/>
        <v>20147</v>
      </c>
    </row>
    <row r="53" spans="1:19" s="240" customFormat="1" ht="12.75">
      <c r="A53" s="145" t="s">
        <v>816</v>
      </c>
      <c r="B53" s="28">
        <f>SUM(B54:B56)</f>
        <v>390428</v>
      </c>
      <c r="C53" s="87">
        <f>SUM(C54:C56)</f>
        <v>451303</v>
      </c>
      <c r="D53" s="119">
        <f>SUM(D54:D56)</f>
        <v>451307</v>
      </c>
      <c r="E53" s="164"/>
      <c r="F53" s="87"/>
      <c r="G53" s="119">
        <v>461908</v>
      </c>
      <c r="H53" s="164"/>
      <c r="I53" s="87"/>
      <c r="J53" s="119">
        <v>128</v>
      </c>
      <c r="K53" s="164"/>
      <c r="L53" s="87"/>
      <c r="M53" s="119">
        <v>44926</v>
      </c>
      <c r="N53" s="164"/>
      <c r="O53" s="87"/>
      <c r="P53" s="119"/>
      <c r="Q53" s="242">
        <f t="shared" si="4"/>
        <v>390428</v>
      </c>
      <c r="R53" s="1317">
        <f t="shared" si="3"/>
        <v>451303</v>
      </c>
      <c r="S53" s="146">
        <f t="shared" si="3"/>
        <v>958269</v>
      </c>
    </row>
    <row r="54" spans="1:19" s="240" customFormat="1" ht="13.5">
      <c r="A54" s="150" t="s">
        <v>807</v>
      </c>
      <c r="B54" s="27">
        <v>180000</v>
      </c>
      <c r="C54" s="81">
        <v>200466</v>
      </c>
      <c r="D54" s="117">
        <v>200466</v>
      </c>
      <c r="E54" s="163"/>
      <c r="F54" s="81"/>
      <c r="G54" s="117"/>
      <c r="H54" s="163"/>
      <c r="I54" s="81"/>
      <c r="J54" s="117"/>
      <c r="K54" s="163"/>
      <c r="L54" s="81"/>
      <c r="M54" s="117"/>
      <c r="N54" s="163"/>
      <c r="O54" s="81"/>
      <c r="P54" s="117"/>
      <c r="Q54" s="241">
        <f t="shared" si="4"/>
        <v>180000</v>
      </c>
      <c r="R54" s="80">
        <f t="shared" si="3"/>
        <v>200466</v>
      </c>
      <c r="S54" s="139">
        <f t="shared" si="3"/>
        <v>200466</v>
      </c>
    </row>
    <row r="55" spans="1:19" s="240" customFormat="1" ht="13.5">
      <c r="A55" s="150" t="s">
        <v>809</v>
      </c>
      <c r="B55" s="27">
        <v>90428</v>
      </c>
      <c r="C55" s="81">
        <v>123334</v>
      </c>
      <c r="D55" s="117">
        <v>123338</v>
      </c>
      <c r="E55" s="163"/>
      <c r="F55" s="81"/>
      <c r="G55" s="117">
        <v>461908</v>
      </c>
      <c r="H55" s="163"/>
      <c r="I55" s="81"/>
      <c r="J55" s="117">
        <v>128</v>
      </c>
      <c r="K55" s="163"/>
      <c r="L55" s="81"/>
      <c r="M55" s="117">
        <v>44926</v>
      </c>
      <c r="N55" s="163"/>
      <c r="O55" s="81"/>
      <c r="P55" s="117"/>
      <c r="Q55" s="241">
        <f t="shared" si="4"/>
        <v>90428</v>
      </c>
      <c r="R55" s="80">
        <f t="shared" si="3"/>
        <v>123334</v>
      </c>
      <c r="S55" s="139">
        <f t="shared" si="3"/>
        <v>630300</v>
      </c>
    </row>
    <row r="56" spans="1:19" s="240" customFormat="1" ht="13.5">
      <c r="A56" s="150" t="s">
        <v>808</v>
      </c>
      <c r="B56" s="27">
        <v>120000</v>
      </c>
      <c r="C56" s="81">
        <v>127503</v>
      </c>
      <c r="D56" s="117">
        <v>127503</v>
      </c>
      <c r="E56" s="163"/>
      <c r="F56" s="81"/>
      <c r="G56" s="117"/>
      <c r="H56" s="163"/>
      <c r="I56" s="81"/>
      <c r="J56" s="117"/>
      <c r="K56" s="163"/>
      <c r="L56" s="81"/>
      <c r="M56" s="117"/>
      <c r="N56" s="163"/>
      <c r="O56" s="81"/>
      <c r="P56" s="117"/>
      <c r="Q56" s="241">
        <f t="shared" si="4"/>
        <v>120000</v>
      </c>
      <c r="R56" s="80">
        <f t="shared" si="3"/>
        <v>127503</v>
      </c>
      <c r="S56" s="139">
        <f t="shared" si="3"/>
        <v>127503</v>
      </c>
    </row>
    <row r="57" spans="1:19" s="31" customFormat="1" ht="12.75">
      <c r="A57" s="151" t="s">
        <v>810</v>
      </c>
      <c r="B57" s="28"/>
      <c r="C57" s="87"/>
      <c r="D57" s="119"/>
      <c r="E57" s="164"/>
      <c r="F57" s="87">
        <v>462363</v>
      </c>
      <c r="G57" s="119">
        <v>474572</v>
      </c>
      <c r="H57" s="164"/>
      <c r="I57" s="87"/>
      <c r="J57" s="119"/>
      <c r="K57" s="164"/>
      <c r="L57" s="87">
        <v>41006</v>
      </c>
      <c r="M57" s="119">
        <v>41006</v>
      </c>
      <c r="N57" s="164"/>
      <c r="O57" s="87">
        <v>47744</v>
      </c>
      <c r="P57" s="119">
        <v>64589</v>
      </c>
      <c r="Q57" s="241">
        <f t="shared" si="4"/>
        <v>0</v>
      </c>
      <c r="R57" s="1317">
        <f t="shared" si="3"/>
        <v>551113</v>
      </c>
      <c r="S57" s="146">
        <f t="shared" si="3"/>
        <v>580167</v>
      </c>
    </row>
    <row r="58" spans="1:19" s="240" customFormat="1" ht="12.75">
      <c r="A58" s="145" t="s">
        <v>625</v>
      </c>
      <c r="B58" s="28">
        <v>1054863</v>
      </c>
      <c r="C58" s="87">
        <v>250000</v>
      </c>
      <c r="D58" s="119"/>
      <c r="E58" s="164"/>
      <c r="F58" s="87"/>
      <c r="G58" s="119"/>
      <c r="H58" s="164"/>
      <c r="I58" s="87"/>
      <c r="J58" s="119"/>
      <c r="K58" s="164"/>
      <c r="L58" s="87"/>
      <c r="M58" s="119"/>
      <c r="N58" s="164"/>
      <c r="O58" s="87"/>
      <c r="P58" s="119"/>
      <c r="Q58" s="242">
        <f t="shared" si="4"/>
        <v>1054863</v>
      </c>
      <c r="R58" s="1317">
        <f t="shared" si="3"/>
        <v>250000</v>
      </c>
      <c r="S58" s="146">
        <f t="shared" si="3"/>
        <v>0</v>
      </c>
    </row>
    <row r="59" spans="1:19" s="240" customFormat="1" ht="13.5">
      <c r="A59" s="274" t="s">
        <v>527</v>
      </c>
      <c r="B59" s="275"/>
      <c r="C59" s="276"/>
      <c r="D59" s="277">
        <v>-35889</v>
      </c>
      <c r="E59" s="278"/>
      <c r="F59" s="276"/>
      <c r="G59" s="277">
        <v>291</v>
      </c>
      <c r="H59" s="278"/>
      <c r="I59" s="276"/>
      <c r="J59" s="277"/>
      <c r="K59" s="278"/>
      <c r="L59" s="276"/>
      <c r="M59" s="277">
        <v>13</v>
      </c>
      <c r="N59" s="278"/>
      <c r="O59" s="276"/>
      <c r="P59" s="277">
        <v>-26415</v>
      </c>
      <c r="Q59" s="279"/>
      <c r="R59" s="280"/>
      <c r="S59" s="139">
        <f t="shared" si="3"/>
        <v>-62000</v>
      </c>
    </row>
    <row r="60" spans="1:19" s="240" customFormat="1" ht="13.5">
      <c r="A60" s="274" t="s">
        <v>528</v>
      </c>
      <c r="B60" s="275"/>
      <c r="C60" s="276"/>
      <c r="D60" s="277"/>
      <c r="E60" s="278"/>
      <c r="F60" s="276"/>
      <c r="G60" s="277">
        <v>31295</v>
      </c>
      <c r="H60" s="278"/>
      <c r="I60" s="276"/>
      <c r="J60" s="277"/>
      <c r="K60" s="278"/>
      <c r="L60" s="276"/>
      <c r="M60" s="277"/>
      <c r="N60" s="278"/>
      <c r="O60" s="276"/>
      <c r="P60" s="277"/>
      <c r="Q60" s="279"/>
      <c r="R60" s="280"/>
      <c r="S60" s="139">
        <f t="shared" si="3"/>
        <v>31295</v>
      </c>
    </row>
    <row r="61" spans="1:19" ht="14.25" thickBot="1">
      <c r="A61" s="152" t="s">
        <v>626</v>
      </c>
      <c r="B61" s="153">
        <f>SUM(B6,B28,B33,B37,B46,B52,B53,B58)</f>
        <v>7850803</v>
      </c>
      <c r="C61" s="227">
        <f>SUM(C6,C28,C33,C37,C46,C52,C53,C58)</f>
        <v>4654329</v>
      </c>
      <c r="D61" s="171">
        <f>SUM(D6+D28+D33+D37+D46+D52+D53+D59)</f>
        <v>4412874</v>
      </c>
      <c r="E61" s="167">
        <f>SUM(E6,E28,E33,E37,E46,E52,E53,E58)</f>
        <v>28740</v>
      </c>
      <c r="F61" s="227">
        <f>SUM(F6,F28,F33,F37,F46,F52,F53,F58,F57)</f>
        <v>517272</v>
      </c>
      <c r="G61" s="171">
        <f>SUM(G6+G33+G37+G52+G53+G57+G59+G60)</f>
        <v>1021631</v>
      </c>
      <c r="H61" s="167">
        <f>SUM(H6,H28,H33,H37,H46,H52,H53,H58)</f>
        <v>3000</v>
      </c>
      <c r="I61" s="227">
        <f>SUM(I6,I28,I33,I37,I46,I52,I53,I58)</f>
        <v>2027</v>
      </c>
      <c r="J61" s="171">
        <f>SUM(J6+J53)</f>
        <v>2367</v>
      </c>
      <c r="K61" s="167">
        <f>SUM(K6,K28,K33,K37,K46,K52,K53,K58)</f>
        <v>199550</v>
      </c>
      <c r="L61" s="227">
        <f>SUM(L6,L28,L33,L37,L46,L52,L53,L58,L57)</f>
        <v>288468</v>
      </c>
      <c r="M61" s="171">
        <f>SUM(M6+M33+M37+M53+M57+M59)</f>
        <v>331647</v>
      </c>
      <c r="N61" s="167">
        <f>SUM(N6,N28,N33,N37,N46,N52,N53,N58)</f>
        <v>761450</v>
      </c>
      <c r="O61" s="227">
        <f>SUM(O6+O8+O33+O46+O57)</f>
        <v>320779</v>
      </c>
      <c r="P61" s="227">
        <f>SUM(P6,P28,P33,P37,P46,P52,P53,P57,P58+P59)</f>
        <v>305646</v>
      </c>
      <c r="Q61" s="243">
        <f t="shared" si="4"/>
        <v>8843543</v>
      </c>
      <c r="R61" s="268">
        <f>SUM(R6+R28+R33+R37+R46+R52+R53+R57+R58)</f>
        <v>5777858</v>
      </c>
      <c r="S61" s="286">
        <f t="shared" si="3"/>
        <v>6074165</v>
      </c>
    </row>
    <row r="62" spans="1:17" ht="12.7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</sheetData>
  <mergeCells count="7">
    <mergeCell ref="A2:S2"/>
    <mergeCell ref="B4:D4"/>
    <mergeCell ref="E4:G4"/>
    <mergeCell ref="H4:J4"/>
    <mergeCell ref="K4:M4"/>
    <mergeCell ref="N4:P4"/>
    <mergeCell ref="Q4:S4"/>
  </mergeCells>
  <printOptions horizontalCentered="1"/>
  <pageMargins left="0" right="0" top="0.8661417322834646" bottom="0.03937007874015748" header="0.5511811023622047" footer="0.07874015748031496"/>
  <pageSetup horizontalDpi="600" verticalDpi="600" orientation="landscape" paperSize="9" scale="50" r:id="rId1"/>
  <headerFooter alignWithMargins="0">
    <oddHeader>&amp;L&amp;8 3. melléklet a 14/2013.(V.2.) önkormányzati rendelethez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277"/>
  <sheetViews>
    <sheetView view="pageBreakPreview" zoomScaleSheetLayoutView="100" workbookViewId="0" topLeftCell="D1">
      <selection activeCell="H19" sqref="H19"/>
    </sheetView>
  </sheetViews>
  <sheetFormatPr defaultColWidth="9.00390625" defaultRowHeight="25.5" customHeight="1"/>
  <cols>
    <col min="1" max="1" width="0.12890625" style="2" hidden="1" customWidth="1"/>
    <col min="2" max="2" width="0" style="2" hidden="1" customWidth="1"/>
    <col min="3" max="3" width="34.00390625" style="2" customWidth="1"/>
    <col min="4" max="4" width="12.75390625" style="2" customWidth="1"/>
    <col min="5" max="6" width="12.625" style="2" customWidth="1"/>
    <col min="7" max="7" width="13.125" style="2" customWidth="1"/>
    <col min="8" max="9" width="13.375" style="2" customWidth="1"/>
    <col min="10" max="10" width="11.125" style="2" customWidth="1"/>
    <col min="11" max="12" width="12.00390625" style="2" customWidth="1"/>
    <col min="13" max="13" width="13.25390625" style="2" customWidth="1"/>
    <col min="14" max="15" width="13.00390625" style="2" customWidth="1"/>
    <col min="16" max="16" width="13.625" style="2" customWidth="1"/>
    <col min="17" max="18" width="13.00390625" style="2" customWidth="1"/>
    <col min="19" max="19" width="11.375" style="2" customWidth="1"/>
    <col min="20" max="20" width="12.25390625" style="2" customWidth="1"/>
    <col min="21" max="21" width="12.00390625" style="2" customWidth="1"/>
    <col min="22" max="22" width="13.00390625" style="2" customWidth="1"/>
    <col min="23" max="16384" width="9.125" style="2" customWidth="1"/>
  </cols>
  <sheetData>
    <row r="1" spans="3:20" s="1" customFormat="1" ht="18" customHeight="1">
      <c r="C1" s="1325" t="s">
        <v>547</v>
      </c>
      <c r="D1" s="1325"/>
      <c r="E1" s="1325"/>
      <c r="F1" s="1325"/>
      <c r="G1" s="1325"/>
      <c r="H1" s="1325"/>
      <c r="I1" s="1325"/>
      <c r="J1" s="1325"/>
      <c r="K1" s="1325"/>
      <c r="L1" s="1325"/>
      <c r="M1" s="1325"/>
      <c r="N1" s="1325"/>
      <c r="O1" s="1325"/>
      <c r="P1" s="1325"/>
      <c r="Q1" s="1325"/>
      <c r="R1" s="1325"/>
      <c r="S1" s="1325"/>
      <c r="T1" s="1325"/>
    </row>
    <row r="2" spans="3:20" s="1" customFormat="1" ht="18" customHeight="1">
      <c r="C2" s="1326" t="s">
        <v>750</v>
      </c>
      <c r="D2" s="1326"/>
      <c r="E2" s="1326"/>
      <c r="F2" s="1326"/>
      <c r="G2" s="1326"/>
      <c r="H2" s="1326"/>
      <c r="I2" s="1326"/>
      <c r="J2" s="1326"/>
      <c r="K2" s="1326"/>
      <c r="L2" s="1326"/>
      <c r="M2" s="1326"/>
      <c r="N2" s="1326"/>
      <c r="O2" s="1326"/>
      <c r="P2" s="1326"/>
      <c r="Q2" s="1326"/>
      <c r="R2" s="1326"/>
      <c r="S2" s="1326"/>
      <c r="T2" s="1326"/>
    </row>
    <row r="3" spans="3:18" s="1" customFormat="1" ht="18" customHeight="1" thickBot="1"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</row>
    <row r="4" spans="1:30" ht="84" customHeight="1" thickBot="1">
      <c r="A4" s="9"/>
      <c r="B4" s="8"/>
      <c r="C4" s="1327" t="s">
        <v>755</v>
      </c>
      <c r="D4" s="1323" t="s">
        <v>552</v>
      </c>
      <c r="E4" s="1324"/>
      <c r="F4" s="1322"/>
      <c r="G4" s="1366" t="s">
        <v>553</v>
      </c>
      <c r="H4" s="1324"/>
      <c r="I4" s="1322"/>
      <c r="J4" s="1366" t="s">
        <v>231</v>
      </c>
      <c r="K4" s="1324"/>
      <c r="L4" s="1322"/>
      <c r="M4" s="1366" t="s">
        <v>741</v>
      </c>
      <c r="N4" s="1324"/>
      <c r="O4" s="1322"/>
      <c r="P4" s="1367" t="s">
        <v>826</v>
      </c>
      <c r="Q4" s="1368"/>
      <c r="R4" s="1369"/>
      <c r="S4" s="1320" t="s">
        <v>756</v>
      </c>
      <c r="T4" s="1321"/>
      <c r="U4" s="1319"/>
      <c r="V4" s="1"/>
      <c r="W4" s="1"/>
      <c r="X4" s="1"/>
      <c r="Y4" s="1"/>
      <c r="Z4" s="1"/>
      <c r="AA4" s="1"/>
      <c r="AB4" s="1"/>
      <c r="AC4" s="1"/>
      <c r="AD4" s="1"/>
    </row>
    <row r="5" spans="1:30" s="4" customFormat="1" ht="27.75" customHeight="1" thickBot="1">
      <c r="A5" s="10"/>
      <c r="B5" s="11"/>
      <c r="C5" s="1328"/>
      <c r="D5" s="216" t="s">
        <v>753</v>
      </c>
      <c r="E5" s="219" t="s">
        <v>550</v>
      </c>
      <c r="F5" s="129" t="s">
        <v>535</v>
      </c>
      <c r="G5" s="217" t="s">
        <v>753</v>
      </c>
      <c r="H5" s="219" t="s">
        <v>550</v>
      </c>
      <c r="I5" s="129" t="s">
        <v>535</v>
      </c>
      <c r="J5" s="217" t="s">
        <v>753</v>
      </c>
      <c r="K5" s="219" t="s">
        <v>550</v>
      </c>
      <c r="L5" s="129" t="s">
        <v>535</v>
      </c>
      <c r="M5" s="217" t="s">
        <v>753</v>
      </c>
      <c r="N5" s="219" t="s">
        <v>550</v>
      </c>
      <c r="O5" s="129" t="s">
        <v>535</v>
      </c>
      <c r="P5" s="272" t="s">
        <v>753</v>
      </c>
      <c r="Q5" s="219" t="s">
        <v>550</v>
      </c>
      <c r="R5" s="129" t="s">
        <v>535</v>
      </c>
      <c r="S5" s="231" t="s">
        <v>754</v>
      </c>
      <c r="T5" s="228" t="s">
        <v>550</v>
      </c>
      <c r="U5" s="273" t="s">
        <v>535</v>
      </c>
      <c r="V5" s="3"/>
      <c r="W5" s="3"/>
      <c r="X5" s="3"/>
      <c r="Y5" s="3"/>
      <c r="Z5" s="3"/>
      <c r="AA5" s="3"/>
      <c r="AB5" s="3"/>
      <c r="AC5" s="3"/>
      <c r="AD5" s="3"/>
    </row>
    <row r="6" spans="1:30" s="6" customFormat="1" ht="15" customHeight="1">
      <c r="A6" s="12"/>
      <c r="B6" s="13"/>
      <c r="C6" s="76" t="s">
        <v>757</v>
      </c>
      <c r="D6" s="21">
        <f>60928-6180</f>
        <v>54748</v>
      </c>
      <c r="E6" s="271">
        <v>73883</v>
      </c>
      <c r="F6" s="237">
        <v>69893</v>
      </c>
      <c r="G6" s="193">
        <f>344664+6180</f>
        <v>350844</v>
      </c>
      <c r="H6" s="22">
        <v>364920</v>
      </c>
      <c r="I6" s="237">
        <v>350967</v>
      </c>
      <c r="J6" s="193">
        <v>9970</v>
      </c>
      <c r="K6" s="22">
        <v>10085</v>
      </c>
      <c r="L6" s="237">
        <v>9380</v>
      </c>
      <c r="M6" s="193">
        <v>869558</v>
      </c>
      <c r="N6" s="22">
        <v>922045</v>
      </c>
      <c r="O6" s="208">
        <v>910755</v>
      </c>
      <c r="P6" s="193">
        <v>404439</v>
      </c>
      <c r="Q6" s="22">
        <v>140862</v>
      </c>
      <c r="R6" s="237">
        <v>140210</v>
      </c>
      <c r="S6" s="232">
        <f aca="true" t="shared" si="0" ref="S6:S30">SUM(D6,G6,J6,M6,P6)</f>
        <v>1689559</v>
      </c>
      <c r="T6" s="229">
        <f aca="true" t="shared" si="1" ref="T6:U30">SUM(E6,H6,K6,N6,Q6)</f>
        <v>1511795</v>
      </c>
      <c r="U6" s="284">
        <f t="shared" si="1"/>
        <v>1481205</v>
      </c>
      <c r="V6" s="5"/>
      <c r="W6" s="5"/>
      <c r="X6" s="5"/>
      <c r="Y6" s="5"/>
      <c r="Z6" s="5"/>
      <c r="AA6" s="5"/>
      <c r="AB6" s="5"/>
      <c r="AC6" s="5"/>
      <c r="AD6" s="5"/>
    </row>
    <row r="7" spans="1:30" s="6" customFormat="1" ht="27.75" customHeight="1">
      <c r="A7" s="12"/>
      <c r="B7" s="13"/>
      <c r="C7" s="174" t="s">
        <v>818</v>
      </c>
      <c r="D7" s="18">
        <f>21183-1669</f>
        <v>19514</v>
      </c>
      <c r="E7" s="17">
        <v>18277</v>
      </c>
      <c r="F7" s="209">
        <v>17610</v>
      </c>
      <c r="G7" s="194">
        <f>90784+1669</f>
        <v>92453</v>
      </c>
      <c r="H7" s="17">
        <v>96330</v>
      </c>
      <c r="I7" s="209">
        <v>93888</v>
      </c>
      <c r="J7" s="194">
        <v>2719</v>
      </c>
      <c r="K7" s="17">
        <v>2750</v>
      </c>
      <c r="L7" s="209">
        <v>2326</v>
      </c>
      <c r="M7" s="194">
        <v>231427</v>
      </c>
      <c r="N7" s="17">
        <v>245118</v>
      </c>
      <c r="O7" s="209">
        <v>241826</v>
      </c>
      <c r="P7" s="194">
        <v>113543</v>
      </c>
      <c r="Q7" s="17">
        <v>37514</v>
      </c>
      <c r="R7" s="209">
        <v>37514</v>
      </c>
      <c r="S7" s="233">
        <f t="shared" si="0"/>
        <v>459656</v>
      </c>
      <c r="T7" s="87">
        <f t="shared" si="1"/>
        <v>399989</v>
      </c>
      <c r="U7" s="119">
        <f t="shared" si="1"/>
        <v>393164</v>
      </c>
      <c r="V7" s="5"/>
      <c r="W7" s="5"/>
      <c r="X7" s="5"/>
      <c r="Y7" s="5"/>
      <c r="Z7" s="5"/>
      <c r="AA7" s="5"/>
      <c r="AB7" s="5"/>
      <c r="AC7" s="5"/>
      <c r="AD7" s="5"/>
    </row>
    <row r="8" spans="1:30" s="6" customFormat="1" ht="15" customHeight="1">
      <c r="A8" s="12"/>
      <c r="B8" s="13"/>
      <c r="C8" s="175" t="s">
        <v>819</v>
      </c>
      <c r="D8" s="18">
        <v>649120</v>
      </c>
      <c r="E8" s="17">
        <v>643714</v>
      </c>
      <c r="F8" s="209">
        <v>556682</v>
      </c>
      <c r="G8" s="195">
        <v>158842</v>
      </c>
      <c r="H8" s="17">
        <v>179312</v>
      </c>
      <c r="I8" s="209">
        <v>150933</v>
      </c>
      <c r="J8" s="195">
        <v>4175</v>
      </c>
      <c r="K8" s="17">
        <v>4502</v>
      </c>
      <c r="L8" s="209">
        <v>2040</v>
      </c>
      <c r="M8" s="195">
        <v>447481</v>
      </c>
      <c r="N8" s="17">
        <v>525965</v>
      </c>
      <c r="O8" s="209">
        <v>505741</v>
      </c>
      <c r="P8" s="195">
        <v>243468</v>
      </c>
      <c r="Q8" s="17">
        <v>125147</v>
      </c>
      <c r="R8" s="209">
        <v>109498</v>
      </c>
      <c r="S8" s="233">
        <f t="shared" si="0"/>
        <v>1503086</v>
      </c>
      <c r="T8" s="87">
        <f t="shared" si="1"/>
        <v>1478640</v>
      </c>
      <c r="U8" s="119">
        <f t="shared" si="1"/>
        <v>1324894</v>
      </c>
      <c r="V8" s="5"/>
      <c r="W8" s="5"/>
      <c r="X8" s="5"/>
      <c r="Y8" s="5"/>
      <c r="Z8" s="5"/>
      <c r="AA8" s="5"/>
      <c r="AB8" s="5"/>
      <c r="AC8" s="5"/>
      <c r="AD8" s="5"/>
    </row>
    <row r="9" spans="1:30" s="6" customFormat="1" ht="15" customHeight="1">
      <c r="A9" s="12"/>
      <c r="B9" s="13"/>
      <c r="C9" s="58" t="s">
        <v>820</v>
      </c>
      <c r="D9" s="23">
        <v>57415</v>
      </c>
      <c r="E9" s="24">
        <v>61153</v>
      </c>
      <c r="F9" s="210">
        <v>45976</v>
      </c>
      <c r="G9" s="196"/>
      <c r="H9" s="24"/>
      <c r="I9" s="210"/>
      <c r="J9" s="196"/>
      <c r="K9" s="24"/>
      <c r="L9" s="210"/>
      <c r="M9" s="196"/>
      <c r="N9" s="24"/>
      <c r="O9" s="210"/>
      <c r="P9" s="196"/>
      <c r="Q9" s="24"/>
      <c r="R9" s="210"/>
      <c r="S9" s="234">
        <f t="shared" si="0"/>
        <v>57415</v>
      </c>
      <c r="T9" s="87">
        <f t="shared" si="1"/>
        <v>61153</v>
      </c>
      <c r="U9" s="119">
        <f t="shared" si="1"/>
        <v>45976</v>
      </c>
      <c r="V9" s="5"/>
      <c r="W9" s="5"/>
      <c r="X9" s="5"/>
      <c r="Y9" s="5"/>
      <c r="Z9" s="5"/>
      <c r="AA9" s="5"/>
      <c r="AB9" s="5"/>
      <c r="AC9" s="5"/>
      <c r="AD9" s="5"/>
    </row>
    <row r="10" spans="1:30" s="6" customFormat="1" ht="15" customHeight="1">
      <c r="A10" s="12"/>
      <c r="B10" s="13"/>
      <c r="C10" s="176" t="s">
        <v>627</v>
      </c>
      <c r="D10" s="18">
        <f>SUM(D11:D13)</f>
        <v>548320</v>
      </c>
      <c r="E10" s="17">
        <f>SUM(E11:E13)</f>
        <v>461424</v>
      </c>
      <c r="F10" s="209">
        <f>SUM(F11:F13)</f>
        <v>408909</v>
      </c>
      <c r="G10" s="195"/>
      <c r="H10" s="17">
        <f>SUM(H11:H13)</f>
        <v>122556</v>
      </c>
      <c r="I10" s="209">
        <v>117403</v>
      </c>
      <c r="J10" s="195"/>
      <c r="K10" s="17"/>
      <c r="L10" s="209"/>
      <c r="M10" s="195">
        <f>SUM(M11:M13)</f>
        <v>9420</v>
      </c>
      <c r="N10" s="17">
        <f>SUM(N11:N13)</f>
        <v>8606</v>
      </c>
      <c r="O10" s="209">
        <v>8606</v>
      </c>
      <c r="P10" s="195"/>
      <c r="Q10" s="17"/>
      <c r="R10" s="209"/>
      <c r="S10" s="233">
        <f t="shared" si="0"/>
        <v>557740</v>
      </c>
      <c r="T10" s="87">
        <f t="shared" si="1"/>
        <v>592586</v>
      </c>
      <c r="U10" s="119">
        <f t="shared" si="1"/>
        <v>534918</v>
      </c>
      <c r="V10" s="5"/>
      <c r="W10" s="5"/>
      <c r="X10" s="5"/>
      <c r="Y10" s="5"/>
      <c r="Z10" s="5"/>
      <c r="AA10" s="5"/>
      <c r="AB10" s="5"/>
      <c r="AC10" s="5"/>
      <c r="AD10" s="5"/>
    </row>
    <row r="11" spans="1:30" ht="24" customHeight="1">
      <c r="A11" s="9"/>
      <c r="B11" s="8"/>
      <c r="C11" s="177" t="s">
        <v>842</v>
      </c>
      <c r="D11" s="23">
        <v>346470</v>
      </c>
      <c r="E11" s="24">
        <v>395864</v>
      </c>
      <c r="F11" s="210">
        <v>353714</v>
      </c>
      <c r="G11" s="196"/>
      <c r="H11" s="24"/>
      <c r="I11" s="210"/>
      <c r="J11" s="196"/>
      <c r="K11" s="24"/>
      <c r="L11" s="210"/>
      <c r="M11" s="196"/>
      <c r="N11" s="24"/>
      <c r="O11" s="210"/>
      <c r="P11" s="196"/>
      <c r="Q11" s="24"/>
      <c r="R11" s="210"/>
      <c r="S11" s="234">
        <f t="shared" si="0"/>
        <v>346470</v>
      </c>
      <c r="T11" s="87">
        <f t="shared" si="1"/>
        <v>395864</v>
      </c>
      <c r="U11" s="119">
        <f t="shared" si="1"/>
        <v>353714</v>
      </c>
      <c r="V11" s="1"/>
      <c r="W11" s="1"/>
      <c r="X11" s="1"/>
      <c r="Y11" s="1"/>
      <c r="Z11" s="1"/>
      <c r="AA11" s="1"/>
      <c r="AB11" s="1"/>
      <c r="AC11" s="1"/>
      <c r="AD11" s="1"/>
    </row>
    <row r="12" spans="1:30" s="127" customFormat="1" ht="30" customHeight="1">
      <c r="A12" s="122"/>
      <c r="B12" s="123"/>
      <c r="C12" s="178" t="s">
        <v>717</v>
      </c>
      <c r="D12" s="124">
        <v>201850</v>
      </c>
      <c r="E12" s="125">
        <v>65560</v>
      </c>
      <c r="F12" s="211">
        <v>55195</v>
      </c>
      <c r="G12" s="197"/>
      <c r="H12" s="125">
        <v>122556</v>
      </c>
      <c r="I12" s="211">
        <v>117403</v>
      </c>
      <c r="J12" s="197"/>
      <c r="K12" s="125"/>
      <c r="L12" s="211"/>
      <c r="M12" s="197"/>
      <c r="N12" s="125">
        <v>244</v>
      </c>
      <c r="O12" s="211">
        <v>244</v>
      </c>
      <c r="P12" s="197"/>
      <c r="Q12" s="125"/>
      <c r="R12" s="211"/>
      <c r="S12" s="235">
        <f t="shared" si="0"/>
        <v>201850</v>
      </c>
      <c r="T12" s="87">
        <f t="shared" si="1"/>
        <v>188360</v>
      </c>
      <c r="U12" s="119">
        <f t="shared" si="1"/>
        <v>172842</v>
      </c>
      <c r="V12" s="126"/>
      <c r="W12" s="126"/>
      <c r="X12" s="126"/>
      <c r="Y12" s="126"/>
      <c r="Z12" s="126"/>
      <c r="AA12" s="126"/>
      <c r="AB12" s="126"/>
      <c r="AC12" s="126"/>
      <c r="AD12" s="126"/>
    </row>
    <row r="13" spans="1:30" s="6" customFormat="1" ht="15" customHeight="1">
      <c r="A13" s="12"/>
      <c r="B13" s="13"/>
      <c r="C13" s="179" t="s">
        <v>764</v>
      </c>
      <c r="D13" s="64"/>
      <c r="E13" s="65"/>
      <c r="F13" s="212"/>
      <c r="G13" s="198"/>
      <c r="H13" s="65"/>
      <c r="I13" s="212"/>
      <c r="J13" s="198"/>
      <c r="K13" s="65"/>
      <c r="L13" s="212"/>
      <c r="M13" s="198">
        <v>9420</v>
      </c>
      <c r="N13" s="65">
        <v>8362</v>
      </c>
      <c r="O13" s="212">
        <v>8362</v>
      </c>
      <c r="P13" s="198"/>
      <c r="Q13" s="65"/>
      <c r="R13" s="212"/>
      <c r="S13" s="234">
        <f t="shared" si="0"/>
        <v>9420</v>
      </c>
      <c r="T13" s="87">
        <f t="shared" si="1"/>
        <v>8362</v>
      </c>
      <c r="U13" s="119">
        <f t="shared" si="1"/>
        <v>8362</v>
      </c>
      <c r="V13" s="5"/>
      <c r="W13" s="5"/>
      <c r="X13" s="5"/>
      <c r="Y13" s="5"/>
      <c r="Z13" s="5"/>
      <c r="AA13" s="5"/>
      <c r="AB13" s="5"/>
      <c r="AC13" s="5"/>
      <c r="AD13" s="5"/>
    </row>
    <row r="14" spans="1:30" s="6" customFormat="1" ht="15" customHeight="1" thickBot="1">
      <c r="A14" s="14"/>
      <c r="B14" s="15"/>
      <c r="C14" s="57" t="s">
        <v>759</v>
      </c>
      <c r="D14" s="18">
        <v>1533282</v>
      </c>
      <c r="E14" s="17">
        <v>750678</v>
      </c>
      <c r="F14" s="209">
        <v>180469</v>
      </c>
      <c r="G14" s="194"/>
      <c r="H14" s="17">
        <v>19184</v>
      </c>
      <c r="I14" s="209">
        <v>19184</v>
      </c>
      <c r="J14" s="194"/>
      <c r="K14" s="17"/>
      <c r="L14" s="209"/>
      <c r="M14" s="194">
        <v>6719</v>
      </c>
      <c r="N14" s="17">
        <v>7016</v>
      </c>
      <c r="O14" s="209">
        <v>6365</v>
      </c>
      <c r="P14" s="194"/>
      <c r="Q14" s="17">
        <v>14918</v>
      </c>
      <c r="R14" s="209">
        <v>14918</v>
      </c>
      <c r="S14" s="233">
        <f t="shared" si="0"/>
        <v>1540001</v>
      </c>
      <c r="T14" s="87">
        <f t="shared" si="1"/>
        <v>791796</v>
      </c>
      <c r="U14" s="119">
        <f t="shared" si="1"/>
        <v>220936</v>
      </c>
      <c r="V14" s="5"/>
      <c r="W14" s="5"/>
      <c r="X14" s="5"/>
      <c r="Y14" s="5"/>
      <c r="Z14" s="5"/>
      <c r="AA14" s="5"/>
      <c r="AB14" s="5"/>
      <c r="AC14" s="5"/>
      <c r="AD14" s="5"/>
    </row>
    <row r="15" spans="1:30" s="6" customFormat="1" ht="15" customHeight="1">
      <c r="A15" s="13"/>
      <c r="B15" s="13"/>
      <c r="C15" s="57" t="s">
        <v>749</v>
      </c>
      <c r="D15" s="18">
        <v>32851</v>
      </c>
      <c r="E15" s="17">
        <v>77434</v>
      </c>
      <c r="F15" s="209">
        <v>68029</v>
      </c>
      <c r="G15" s="194"/>
      <c r="H15" s="17"/>
      <c r="I15" s="209"/>
      <c r="J15" s="194"/>
      <c r="K15" s="17"/>
      <c r="L15" s="209"/>
      <c r="M15" s="194"/>
      <c r="N15" s="17">
        <v>16833</v>
      </c>
      <c r="O15" s="209">
        <v>15763</v>
      </c>
      <c r="P15" s="194"/>
      <c r="Q15" s="17"/>
      <c r="R15" s="209"/>
      <c r="S15" s="233">
        <f t="shared" si="0"/>
        <v>32851</v>
      </c>
      <c r="T15" s="87">
        <f t="shared" si="1"/>
        <v>94267</v>
      </c>
      <c r="U15" s="119">
        <f t="shared" si="1"/>
        <v>83792</v>
      </c>
      <c r="V15" s="5"/>
      <c r="W15" s="5"/>
      <c r="X15" s="5"/>
      <c r="Y15" s="5"/>
      <c r="Z15" s="5"/>
      <c r="AA15" s="5"/>
      <c r="AB15" s="5"/>
      <c r="AC15" s="5"/>
      <c r="AD15" s="5"/>
    </row>
    <row r="16" spans="1:30" s="35" customFormat="1" ht="24" customHeight="1">
      <c r="A16" s="67"/>
      <c r="B16" s="67"/>
      <c r="C16" s="180" t="s">
        <v>551</v>
      </c>
      <c r="D16" s="68">
        <v>42352</v>
      </c>
      <c r="E16" s="69">
        <v>97535</v>
      </c>
      <c r="F16" s="213">
        <v>33386</v>
      </c>
      <c r="G16" s="199"/>
      <c r="H16" s="69"/>
      <c r="I16" s="213"/>
      <c r="J16" s="199"/>
      <c r="K16" s="69"/>
      <c r="L16" s="213"/>
      <c r="M16" s="199"/>
      <c r="N16" s="69"/>
      <c r="O16" s="213"/>
      <c r="P16" s="199"/>
      <c r="Q16" s="69"/>
      <c r="R16" s="213"/>
      <c r="S16" s="233">
        <f t="shared" si="0"/>
        <v>42352</v>
      </c>
      <c r="T16" s="87">
        <f t="shared" si="1"/>
        <v>97535</v>
      </c>
      <c r="U16" s="119">
        <f t="shared" si="1"/>
        <v>33386</v>
      </c>
      <c r="V16" s="70"/>
      <c r="W16" s="70"/>
      <c r="X16" s="70"/>
      <c r="Y16" s="70"/>
      <c r="Z16" s="70"/>
      <c r="AA16" s="70"/>
      <c r="AB16" s="70"/>
      <c r="AC16" s="70"/>
      <c r="AD16" s="70"/>
    </row>
    <row r="17" spans="1:30" s="35" customFormat="1" ht="15" customHeight="1">
      <c r="A17" s="67"/>
      <c r="B17" s="67"/>
      <c r="C17" s="59" t="s">
        <v>796</v>
      </c>
      <c r="D17" s="68">
        <v>13000</v>
      </c>
      <c r="E17" s="69">
        <v>11</v>
      </c>
      <c r="F17" s="213"/>
      <c r="G17" s="199"/>
      <c r="H17" s="69"/>
      <c r="I17" s="213"/>
      <c r="J17" s="199"/>
      <c r="K17" s="69"/>
      <c r="L17" s="213"/>
      <c r="M17" s="199"/>
      <c r="N17" s="69"/>
      <c r="O17" s="213"/>
      <c r="P17" s="199"/>
      <c r="Q17" s="69"/>
      <c r="R17" s="213"/>
      <c r="S17" s="233">
        <f t="shared" si="0"/>
        <v>13000</v>
      </c>
      <c r="T17" s="87">
        <f t="shared" si="1"/>
        <v>11</v>
      </c>
      <c r="U17" s="119">
        <f t="shared" si="1"/>
        <v>0</v>
      </c>
      <c r="V17" s="70"/>
      <c r="W17" s="70"/>
      <c r="X17" s="70"/>
      <c r="Y17" s="70"/>
      <c r="Z17" s="70"/>
      <c r="AA17" s="70"/>
      <c r="AB17" s="70"/>
      <c r="AC17" s="70"/>
      <c r="AD17" s="70"/>
    </row>
    <row r="18" spans="1:30" s="35" customFormat="1" ht="26.25" customHeight="1">
      <c r="A18" s="67"/>
      <c r="B18" s="67"/>
      <c r="C18" s="180" t="s">
        <v>534</v>
      </c>
      <c r="D18" s="68">
        <v>136000</v>
      </c>
      <c r="E18" s="69">
        <v>43351</v>
      </c>
      <c r="F18" s="213"/>
      <c r="G18" s="199"/>
      <c r="H18" s="69"/>
      <c r="I18" s="213"/>
      <c r="J18" s="199"/>
      <c r="K18" s="69"/>
      <c r="L18" s="213"/>
      <c r="M18" s="199"/>
      <c r="N18" s="69"/>
      <c r="O18" s="213"/>
      <c r="P18" s="199"/>
      <c r="Q18" s="69"/>
      <c r="R18" s="213"/>
      <c r="S18" s="233">
        <f t="shared" si="0"/>
        <v>136000</v>
      </c>
      <c r="T18" s="87">
        <f t="shared" si="1"/>
        <v>43351</v>
      </c>
      <c r="U18" s="119">
        <f t="shared" si="1"/>
        <v>0</v>
      </c>
      <c r="V18" s="70"/>
      <c r="W18" s="70"/>
      <c r="X18" s="70"/>
      <c r="Y18" s="70"/>
      <c r="Z18" s="70"/>
      <c r="AA18" s="70"/>
      <c r="AB18" s="70"/>
      <c r="AC18" s="70"/>
      <c r="AD18" s="70"/>
    </row>
    <row r="19" spans="1:30" s="35" customFormat="1" ht="25.5" customHeight="1">
      <c r="A19" s="67"/>
      <c r="B19" s="67"/>
      <c r="C19" s="180" t="s">
        <v>801</v>
      </c>
      <c r="D19" s="68">
        <f>31412+13000</f>
        <v>44412</v>
      </c>
      <c r="E19" s="69">
        <v>76719</v>
      </c>
      <c r="F19" s="213"/>
      <c r="G19" s="199"/>
      <c r="H19" s="69"/>
      <c r="I19" s="213"/>
      <c r="J19" s="199"/>
      <c r="K19" s="69"/>
      <c r="L19" s="213"/>
      <c r="M19" s="199"/>
      <c r="N19" s="69"/>
      <c r="O19" s="213"/>
      <c r="P19" s="199"/>
      <c r="Q19" s="69"/>
      <c r="R19" s="213"/>
      <c r="S19" s="233">
        <f t="shared" si="0"/>
        <v>44412</v>
      </c>
      <c r="T19" s="87">
        <f t="shared" si="1"/>
        <v>76719</v>
      </c>
      <c r="U19" s="119">
        <f t="shared" si="1"/>
        <v>0</v>
      </c>
      <c r="V19" s="70"/>
      <c r="W19" s="70"/>
      <c r="X19" s="70"/>
      <c r="Y19" s="70"/>
      <c r="Z19" s="70"/>
      <c r="AA19" s="70"/>
      <c r="AB19" s="70"/>
      <c r="AC19" s="70"/>
      <c r="AD19" s="70"/>
    </row>
    <row r="20" spans="1:30" s="35" customFormat="1" ht="38.25" customHeight="1">
      <c r="A20" s="67"/>
      <c r="B20" s="67"/>
      <c r="C20" s="181" t="s">
        <v>633</v>
      </c>
      <c r="D20" s="68">
        <v>14173</v>
      </c>
      <c r="E20" s="69">
        <v>2249</v>
      </c>
      <c r="F20" s="213"/>
      <c r="G20" s="199"/>
      <c r="H20" s="69"/>
      <c r="I20" s="213"/>
      <c r="J20" s="199"/>
      <c r="K20" s="69"/>
      <c r="L20" s="213"/>
      <c r="M20" s="199"/>
      <c r="N20" s="69"/>
      <c r="O20" s="213"/>
      <c r="P20" s="199"/>
      <c r="Q20" s="69"/>
      <c r="R20" s="213"/>
      <c r="S20" s="233">
        <f t="shared" si="0"/>
        <v>14173</v>
      </c>
      <c r="T20" s="87">
        <f t="shared" si="1"/>
        <v>2249</v>
      </c>
      <c r="U20" s="119">
        <f t="shared" si="1"/>
        <v>0</v>
      </c>
      <c r="V20" s="70"/>
      <c r="W20" s="70"/>
      <c r="X20" s="70"/>
      <c r="Y20" s="70"/>
      <c r="Z20" s="70"/>
      <c r="AA20" s="70"/>
      <c r="AB20" s="70"/>
      <c r="AC20" s="70"/>
      <c r="AD20" s="70"/>
    </row>
    <row r="21" spans="1:30" s="35" customFormat="1" ht="15" customHeight="1">
      <c r="A21" s="67"/>
      <c r="B21" s="67"/>
      <c r="C21" s="59" t="s">
        <v>530</v>
      </c>
      <c r="D21" s="68">
        <f>SUM(D22:D24)</f>
        <v>2643506</v>
      </c>
      <c r="E21" s="69">
        <f>SUM(E22:E24)</f>
        <v>0</v>
      </c>
      <c r="F21" s="213"/>
      <c r="G21" s="200"/>
      <c r="H21" s="69"/>
      <c r="I21" s="213"/>
      <c r="J21" s="200"/>
      <c r="K21" s="69"/>
      <c r="L21" s="213"/>
      <c r="M21" s="200"/>
      <c r="N21" s="69"/>
      <c r="O21" s="213"/>
      <c r="P21" s="200"/>
      <c r="Q21" s="69"/>
      <c r="R21" s="213"/>
      <c r="S21" s="233">
        <f t="shared" si="0"/>
        <v>2643506</v>
      </c>
      <c r="T21" s="87">
        <f t="shared" si="1"/>
        <v>0</v>
      </c>
      <c r="U21" s="119">
        <f t="shared" si="1"/>
        <v>0</v>
      </c>
      <c r="V21" s="70"/>
      <c r="W21" s="70"/>
      <c r="X21" s="70"/>
      <c r="Y21" s="70"/>
      <c r="Z21" s="70"/>
      <c r="AA21" s="70"/>
      <c r="AB21" s="70"/>
      <c r="AC21" s="70"/>
      <c r="AD21" s="70"/>
    </row>
    <row r="22" spans="1:30" s="35" customFormat="1" ht="15" customHeight="1">
      <c r="A22" s="67"/>
      <c r="B22" s="67"/>
      <c r="C22" s="179" t="s">
        <v>634</v>
      </c>
      <c r="D22" s="64">
        <v>2586721</v>
      </c>
      <c r="E22" s="65"/>
      <c r="F22" s="212"/>
      <c r="G22" s="198"/>
      <c r="H22" s="65"/>
      <c r="I22" s="212"/>
      <c r="J22" s="198"/>
      <c r="K22" s="65"/>
      <c r="L22" s="212"/>
      <c r="M22" s="198"/>
      <c r="N22" s="65"/>
      <c r="O22" s="212"/>
      <c r="P22" s="198"/>
      <c r="Q22" s="65"/>
      <c r="R22" s="212"/>
      <c r="S22" s="234">
        <f t="shared" si="0"/>
        <v>2586721</v>
      </c>
      <c r="T22" s="87">
        <f t="shared" si="1"/>
        <v>0</v>
      </c>
      <c r="U22" s="119">
        <f t="shared" si="1"/>
        <v>0</v>
      </c>
      <c r="V22" s="70"/>
      <c r="W22" s="70"/>
      <c r="X22" s="70"/>
      <c r="Y22" s="70"/>
      <c r="Z22" s="70"/>
      <c r="AA22" s="70"/>
      <c r="AB22" s="70"/>
      <c r="AC22" s="70"/>
      <c r="AD22" s="70"/>
    </row>
    <row r="23" spans="1:30" s="35" customFormat="1" ht="15" customHeight="1">
      <c r="A23" s="67"/>
      <c r="B23" s="67"/>
      <c r="C23" s="179" t="s">
        <v>635</v>
      </c>
      <c r="D23" s="64">
        <v>39367</v>
      </c>
      <c r="E23" s="65"/>
      <c r="F23" s="212"/>
      <c r="G23" s="198"/>
      <c r="H23" s="65"/>
      <c r="I23" s="212"/>
      <c r="J23" s="198"/>
      <c r="K23" s="65"/>
      <c r="L23" s="212"/>
      <c r="M23" s="198"/>
      <c r="N23" s="65"/>
      <c r="O23" s="212"/>
      <c r="P23" s="198"/>
      <c r="Q23" s="65"/>
      <c r="R23" s="212"/>
      <c r="S23" s="234">
        <f t="shared" si="0"/>
        <v>39367</v>
      </c>
      <c r="T23" s="87">
        <f t="shared" si="1"/>
        <v>0</v>
      </c>
      <c r="U23" s="119">
        <f t="shared" si="1"/>
        <v>0</v>
      </c>
      <c r="V23" s="70"/>
      <c r="W23" s="70"/>
      <c r="X23" s="70"/>
      <c r="Y23" s="70"/>
      <c r="Z23" s="70"/>
      <c r="AA23" s="70"/>
      <c r="AB23" s="70"/>
      <c r="AC23" s="70"/>
      <c r="AD23" s="70"/>
    </row>
    <row r="24" spans="1:30" s="35" customFormat="1" ht="37.5" customHeight="1">
      <c r="A24" s="67"/>
      <c r="B24" s="67"/>
      <c r="C24" s="144" t="s">
        <v>636</v>
      </c>
      <c r="D24" s="64">
        <v>17418</v>
      </c>
      <c r="E24" s="65"/>
      <c r="F24" s="212"/>
      <c r="G24" s="198"/>
      <c r="H24" s="65"/>
      <c r="I24" s="212"/>
      <c r="J24" s="198"/>
      <c r="K24" s="65"/>
      <c r="L24" s="212"/>
      <c r="M24" s="198"/>
      <c r="N24" s="65"/>
      <c r="O24" s="212"/>
      <c r="P24" s="198"/>
      <c r="Q24" s="65"/>
      <c r="R24" s="212"/>
      <c r="S24" s="234">
        <f t="shared" si="0"/>
        <v>17418</v>
      </c>
      <c r="T24" s="87">
        <f t="shared" si="1"/>
        <v>0</v>
      </c>
      <c r="U24" s="119">
        <f t="shared" si="1"/>
        <v>0</v>
      </c>
      <c r="V24" s="70"/>
      <c r="W24" s="70"/>
      <c r="X24" s="70"/>
      <c r="Y24" s="70"/>
      <c r="Z24" s="70"/>
      <c r="AA24" s="70"/>
      <c r="AB24" s="70"/>
      <c r="AC24" s="70"/>
      <c r="AD24" s="70"/>
    </row>
    <row r="25" spans="1:30" s="35" customFormat="1" ht="15" customHeight="1">
      <c r="A25" s="67"/>
      <c r="B25" s="67"/>
      <c r="C25" s="59" t="s">
        <v>628</v>
      </c>
      <c r="D25" s="68">
        <f>SUM(D26,D29)</f>
        <v>4000</v>
      </c>
      <c r="E25" s="69">
        <f>SUM(E26,E29)</f>
        <v>66557</v>
      </c>
      <c r="F25" s="213">
        <f>SUM(F26,F29)</f>
        <v>65657</v>
      </c>
      <c r="G25" s="200">
        <f>SUM(G26,G29)</f>
        <v>1500</v>
      </c>
      <c r="H25" s="69">
        <f>SUM(H26,H29)</f>
        <v>1600</v>
      </c>
      <c r="I25" s="213">
        <v>1000</v>
      </c>
      <c r="J25" s="200"/>
      <c r="K25" s="69"/>
      <c r="L25" s="213"/>
      <c r="M25" s="200"/>
      <c r="N25" s="69"/>
      <c r="O25" s="213"/>
      <c r="P25" s="200"/>
      <c r="Q25" s="69"/>
      <c r="R25" s="213"/>
      <c r="S25" s="233">
        <f t="shared" si="0"/>
        <v>5500</v>
      </c>
      <c r="T25" s="87">
        <f t="shared" si="1"/>
        <v>68157</v>
      </c>
      <c r="U25" s="119">
        <f t="shared" si="1"/>
        <v>66657</v>
      </c>
      <c r="V25" s="70"/>
      <c r="W25" s="70"/>
      <c r="X25" s="70"/>
      <c r="Y25" s="70"/>
      <c r="Z25" s="70"/>
      <c r="AA25" s="70"/>
      <c r="AB25" s="70"/>
      <c r="AC25" s="70"/>
      <c r="AD25" s="70"/>
    </row>
    <row r="26" spans="1:30" s="37" customFormat="1" ht="15" customHeight="1">
      <c r="A26" s="71"/>
      <c r="B26" s="71"/>
      <c r="C26" s="179" t="s">
        <v>821</v>
      </c>
      <c r="D26" s="64">
        <f>SUM(D27:D28)</f>
        <v>1500</v>
      </c>
      <c r="E26" s="65">
        <v>1500</v>
      </c>
      <c r="F26" s="212">
        <v>600</v>
      </c>
      <c r="G26" s="201">
        <f>SUM(G27:G28)</f>
        <v>1500</v>
      </c>
      <c r="H26" s="65">
        <v>1600</v>
      </c>
      <c r="I26" s="212">
        <v>1000</v>
      </c>
      <c r="J26" s="201"/>
      <c r="K26" s="65"/>
      <c r="L26" s="212"/>
      <c r="M26" s="201"/>
      <c r="N26" s="65"/>
      <c r="O26" s="212"/>
      <c r="P26" s="201"/>
      <c r="Q26" s="65"/>
      <c r="R26" s="212"/>
      <c r="S26" s="234">
        <f t="shared" si="0"/>
        <v>3000</v>
      </c>
      <c r="T26" s="87">
        <f t="shared" si="1"/>
        <v>3100</v>
      </c>
      <c r="U26" s="119">
        <f t="shared" si="1"/>
        <v>1600</v>
      </c>
      <c r="V26" s="66"/>
      <c r="W26" s="66"/>
      <c r="X26" s="66"/>
      <c r="Y26" s="66"/>
      <c r="Z26" s="66"/>
      <c r="AA26" s="66"/>
      <c r="AB26" s="66"/>
      <c r="AC26" s="66"/>
      <c r="AD26" s="66"/>
    </row>
    <row r="27" spans="1:30" s="39" customFormat="1" ht="15" customHeight="1">
      <c r="A27" s="40"/>
      <c r="B27" s="40"/>
      <c r="C27" s="182" t="s">
        <v>745</v>
      </c>
      <c r="D27" s="62">
        <v>1500</v>
      </c>
      <c r="E27" s="63">
        <v>1500</v>
      </c>
      <c r="F27" s="214">
        <v>600</v>
      </c>
      <c r="G27" s="202"/>
      <c r="H27" s="63"/>
      <c r="I27" s="214"/>
      <c r="J27" s="202"/>
      <c r="K27" s="63"/>
      <c r="L27" s="214"/>
      <c r="M27" s="202"/>
      <c r="N27" s="63"/>
      <c r="O27" s="214"/>
      <c r="P27" s="202"/>
      <c r="Q27" s="63"/>
      <c r="R27" s="214"/>
      <c r="S27" s="234">
        <f t="shared" si="0"/>
        <v>1500</v>
      </c>
      <c r="T27" s="87">
        <f t="shared" si="1"/>
        <v>1500</v>
      </c>
      <c r="U27" s="119">
        <f t="shared" si="1"/>
        <v>600</v>
      </c>
      <c r="V27" s="72"/>
      <c r="W27" s="72"/>
      <c r="X27" s="72"/>
      <c r="Y27" s="72"/>
      <c r="Z27" s="72"/>
      <c r="AA27" s="72"/>
      <c r="AB27" s="72"/>
      <c r="AC27" s="72"/>
      <c r="AD27" s="72"/>
    </row>
    <row r="28" spans="1:30" s="39" customFormat="1" ht="15" customHeight="1">
      <c r="A28" s="40"/>
      <c r="B28" s="40"/>
      <c r="C28" s="182" t="s">
        <v>746</v>
      </c>
      <c r="D28" s="62"/>
      <c r="E28" s="63"/>
      <c r="F28" s="214"/>
      <c r="G28" s="202">
        <v>1500</v>
      </c>
      <c r="H28" s="63">
        <v>1600</v>
      </c>
      <c r="I28" s="214">
        <v>1000</v>
      </c>
      <c r="J28" s="202"/>
      <c r="K28" s="63"/>
      <c r="L28" s="214"/>
      <c r="M28" s="202"/>
      <c r="N28" s="63"/>
      <c r="O28" s="214"/>
      <c r="P28" s="202"/>
      <c r="Q28" s="63"/>
      <c r="R28" s="214"/>
      <c r="S28" s="234">
        <f t="shared" si="0"/>
        <v>1500</v>
      </c>
      <c r="T28" s="87">
        <f t="shared" si="1"/>
        <v>1600</v>
      </c>
      <c r="U28" s="119">
        <f t="shared" si="1"/>
        <v>1000</v>
      </c>
      <c r="V28" s="72"/>
      <c r="W28" s="72"/>
      <c r="X28" s="72"/>
      <c r="Y28" s="72"/>
      <c r="Z28" s="72"/>
      <c r="AA28" s="72"/>
      <c r="AB28" s="72"/>
      <c r="AC28" s="72"/>
      <c r="AD28" s="72"/>
    </row>
    <row r="29" spans="1:30" s="37" customFormat="1" ht="15" customHeight="1">
      <c r="A29" s="71"/>
      <c r="B29" s="71"/>
      <c r="C29" s="179" t="s">
        <v>725</v>
      </c>
      <c r="D29" s="64">
        <f>SUM(D30:D30)</f>
        <v>2500</v>
      </c>
      <c r="E29" s="65">
        <v>65057</v>
      </c>
      <c r="F29" s="212">
        <v>65057</v>
      </c>
      <c r="G29" s="201"/>
      <c r="H29" s="65"/>
      <c r="I29" s="212"/>
      <c r="J29" s="201"/>
      <c r="K29" s="65"/>
      <c r="L29" s="212"/>
      <c r="M29" s="201"/>
      <c r="N29" s="65"/>
      <c r="O29" s="212"/>
      <c r="P29" s="201"/>
      <c r="Q29" s="65"/>
      <c r="R29" s="212"/>
      <c r="S29" s="234">
        <f t="shared" si="0"/>
        <v>2500</v>
      </c>
      <c r="T29" s="87">
        <f t="shared" si="1"/>
        <v>65057</v>
      </c>
      <c r="U29" s="119">
        <f t="shared" si="1"/>
        <v>65057</v>
      </c>
      <c r="V29" s="66"/>
      <c r="W29" s="66"/>
      <c r="X29" s="66"/>
      <c r="Y29" s="66"/>
      <c r="Z29" s="66"/>
      <c r="AA29" s="66"/>
      <c r="AB29" s="66"/>
      <c r="AC29" s="66"/>
      <c r="AD29" s="66"/>
    </row>
    <row r="30" spans="1:30" s="39" customFormat="1" ht="15" customHeight="1">
      <c r="A30" s="40"/>
      <c r="B30" s="40"/>
      <c r="C30" s="183" t="s">
        <v>728</v>
      </c>
      <c r="D30" s="62">
        <v>2500</v>
      </c>
      <c r="E30" s="63">
        <v>2500</v>
      </c>
      <c r="F30" s="214">
        <v>2500</v>
      </c>
      <c r="G30" s="202"/>
      <c r="H30" s="63"/>
      <c r="I30" s="214"/>
      <c r="J30" s="202"/>
      <c r="K30" s="63"/>
      <c r="L30" s="214"/>
      <c r="M30" s="202"/>
      <c r="N30" s="63"/>
      <c r="O30" s="214"/>
      <c r="P30" s="202"/>
      <c r="Q30" s="63"/>
      <c r="R30" s="214"/>
      <c r="S30" s="234">
        <f t="shared" si="0"/>
        <v>2500</v>
      </c>
      <c r="T30" s="87">
        <f t="shared" si="1"/>
        <v>2500</v>
      </c>
      <c r="U30" s="119">
        <f t="shared" si="1"/>
        <v>2500</v>
      </c>
      <c r="V30" s="72"/>
      <c r="W30" s="72"/>
      <c r="X30" s="72"/>
      <c r="Y30" s="72"/>
      <c r="Z30" s="72"/>
      <c r="AA30" s="72"/>
      <c r="AB30" s="72"/>
      <c r="AC30" s="72"/>
      <c r="AD30" s="72"/>
    </row>
    <row r="31" spans="1:30" s="39" customFormat="1" ht="15" customHeight="1">
      <c r="A31" s="40"/>
      <c r="B31" s="40"/>
      <c r="C31" s="184" t="s">
        <v>802</v>
      </c>
      <c r="D31" s="96"/>
      <c r="E31" s="63">
        <v>2000</v>
      </c>
      <c r="F31" s="214">
        <v>2000</v>
      </c>
      <c r="G31" s="203"/>
      <c r="H31" s="63"/>
      <c r="I31" s="214"/>
      <c r="J31" s="203"/>
      <c r="K31" s="63"/>
      <c r="L31" s="214"/>
      <c r="M31" s="203"/>
      <c r="N31" s="63"/>
      <c r="O31" s="214"/>
      <c r="P31" s="203"/>
      <c r="Q31" s="63"/>
      <c r="R31" s="214"/>
      <c r="S31" s="234"/>
      <c r="T31" s="87">
        <f aca="true" t="shared" si="2" ref="T31:U46">SUM(E31,H31,K31,N31,Q31)</f>
        <v>2000</v>
      </c>
      <c r="U31" s="119">
        <f t="shared" si="2"/>
        <v>2000</v>
      </c>
      <c r="V31" s="72"/>
      <c r="W31" s="72"/>
      <c r="X31" s="72"/>
      <c r="Y31" s="72"/>
      <c r="Z31" s="72"/>
      <c r="AA31" s="72"/>
      <c r="AB31" s="72"/>
      <c r="AC31" s="72"/>
      <c r="AD31" s="72"/>
    </row>
    <row r="32" spans="1:30" s="39" customFormat="1" ht="15" customHeight="1">
      <c r="A32" s="40"/>
      <c r="B32" s="40"/>
      <c r="C32" s="184" t="s">
        <v>803</v>
      </c>
      <c r="D32" s="96"/>
      <c r="E32" s="63">
        <v>17741</v>
      </c>
      <c r="F32" s="214">
        <v>17741</v>
      </c>
      <c r="G32" s="203"/>
      <c r="H32" s="63"/>
      <c r="I32" s="214"/>
      <c r="J32" s="203"/>
      <c r="K32" s="63"/>
      <c r="L32" s="214"/>
      <c r="M32" s="203"/>
      <c r="N32" s="63"/>
      <c r="O32" s="214"/>
      <c r="P32" s="203"/>
      <c r="Q32" s="63"/>
      <c r="R32" s="214"/>
      <c r="S32" s="234"/>
      <c r="T32" s="87">
        <f t="shared" si="2"/>
        <v>17741</v>
      </c>
      <c r="U32" s="119">
        <f t="shared" si="2"/>
        <v>17741</v>
      </c>
      <c r="V32" s="72"/>
      <c r="W32" s="72"/>
      <c r="X32" s="72"/>
      <c r="Y32" s="72"/>
      <c r="Z32" s="72"/>
      <c r="AA32" s="72"/>
      <c r="AB32" s="72"/>
      <c r="AC32" s="72"/>
      <c r="AD32" s="72"/>
    </row>
    <row r="33" spans="1:30" s="39" customFormat="1" ht="15" customHeight="1">
      <c r="A33" s="40"/>
      <c r="B33" s="40"/>
      <c r="C33" s="184" t="s">
        <v>525</v>
      </c>
      <c r="D33" s="96"/>
      <c r="E33" s="63">
        <v>3000</v>
      </c>
      <c r="F33" s="214">
        <v>3000</v>
      </c>
      <c r="G33" s="203"/>
      <c r="H33" s="63"/>
      <c r="I33" s="214"/>
      <c r="J33" s="203"/>
      <c r="K33" s="63"/>
      <c r="L33" s="214"/>
      <c r="M33" s="203"/>
      <c r="N33" s="63"/>
      <c r="O33" s="214"/>
      <c r="P33" s="203"/>
      <c r="Q33" s="63"/>
      <c r="R33" s="214"/>
      <c r="S33" s="234"/>
      <c r="T33" s="87">
        <f t="shared" si="2"/>
        <v>3000</v>
      </c>
      <c r="U33" s="119">
        <f t="shared" si="2"/>
        <v>3000</v>
      </c>
      <c r="V33" s="72"/>
      <c r="W33" s="72"/>
      <c r="X33" s="72"/>
      <c r="Y33" s="72"/>
      <c r="Z33" s="72"/>
      <c r="AA33" s="72"/>
      <c r="AB33" s="72"/>
      <c r="AC33" s="72"/>
      <c r="AD33" s="72"/>
    </row>
    <row r="34" spans="1:30" s="39" customFormat="1" ht="15" customHeight="1">
      <c r="A34" s="40"/>
      <c r="B34" s="40"/>
      <c r="C34" s="184" t="s">
        <v>526</v>
      </c>
      <c r="D34" s="96"/>
      <c r="E34" s="63">
        <v>39816</v>
      </c>
      <c r="F34" s="214">
        <v>39816</v>
      </c>
      <c r="G34" s="203"/>
      <c r="H34" s="63"/>
      <c r="I34" s="214"/>
      <c r="J34" s="203"/>
      <c r="K34" s="63"/>
      <c r="L34" s="214"/>
      <c r="M34" s="203"/>
      <c r="N34" s="63"/>
      <c r="O34" s="214"/>
      <c r="P34" s="203"/>
      <c r="Q34" s="63"/>
      <c r="R34" s="214"/>
      <c r="S34" s="234"/>
      <c r="T34" s="87">
        <f t="shared" si="2"/>
        <v>39816</v>
      </c>
      <c r="U34" s="119">
        <f t="shared" si="2"/>
        <v>39816</v>
      </c>
      <c r="V34" s="72"/>
      <c r="W34" s="72"/>
      <c r="X34" s="72"/>
      <c r="Y34" s="72"/>
      <c r="Z34" s="72"/>
      <c r="AA34" s="72"/>
      <c r="AB34" s="72"/>
      <c r="AC34" s="72"/>
      <c r="AD34" s="72"/>
    </row>
    <row r="35" spans="1:30" s="6" customFormat="1" ht="27" customHeight="1">
      <c r="A35" s="16"/>
      <c r="B35" s="16"/>
      <c r="C35" s="185" t="s">
        <v>524</v>
      </c>
      <c r="D35" s="29">
        <f>SUM(D36:D37)</f>
        <v>27692</v>
      </c>
      <c r="E35" s="90">
        <f>SUM(E36:E37)</f>
        <v>35191</v>
      </c>
      <c r="F35" s="282">
        <f>SUM(F36:F37)</f>
        <v>5421</v>
      </c>
      <c r="G35" s="204"/>
      <c r="H35" s="17"/>
      <c r="I35" s="209"/>
      <c r="J35" s="204"/>
      <c r="K35" s="17"/>
      <c r="L35" s="209"/>
      <c r="M35" s="204"/>
      <c r="N35" s="17"/>
      <c r="O35" s="209"/>
      <c r="P35" s="204"/>
      <c r="Q35" s="17"/>
      <c r="R35" s="209"/>
      <c r="S35" s="233">
        <f aca="true" t="shared" si="3" ref="S35:S40">SUM(D35,G35,J35,M35,P35)</f>
        <v>27692</v>
      </c>
      <c r="T35" s="87">
        <f t="shared" si="2"/>
        <v>35191</v>
      </c>
      <c r="U35" s="119">
        <f t="shared" si="2"/>
        <v>5421</v>
      </c>
      <c r="V35" s="5"/>
      <c r="W35" s="5"/>
      <c r="X35" s="5"/>
      <c r="Y35" s="5"/>
      <c r="Z35" s="5"/>
      <c r="AA35" s="5"/>
      <c r="AB35" s="5"/>
      <c r="AC35" s="5"/>
      <c r="AD35" s="5"/>
    </row>
    <row r="36" spans="1:30" s="37" customFormat="1" ht="15" customHeight="1">
      <c r="A36" s="71"/>
      <c r="B36" s="71"/>
      <c r="C36" s="186" t="s">
        <v>629</v>
      </c>
      <c r="D36" s="73">
        <v>23408</v>
      </c>
      <c r="E36" s="65">
        <v>30907</v>
      </c>
      <c r="F36" s="212">
        <v>2499</v>
      </c>
      <c r="G36" s="205"/>
      <c r="H36" s="65"/>
      <c r="I36" s="212"/>
      <c r="J36" s="205"/>
      <c r="K36" s="65"/>
      <c r="L36" s="212"/>
      <c r="M36" s="205"/>
      <c r="N36" s="65"/>
      <c r="O36" s="212"/>
      <c r="P36" s="205"/>
      <c r="Q36" s="65"/>
      <c r="R36" s="212"/>
      <c r="S36" s="234">
        <f t="shared" si="3"/>
        <v>23408</v>
      </c>
      <c r="T36" s="87">
        <f t="shared" si="2"/>
        <v>30907</v>
      </c>
      <c r="U36" s="119">
        <f t="shared" si="2"/>
        <v>2499</v>
      </c>
      <c r="V36" s="66"/>
      <c r="W36" s="66"/>
      <c r="X36" s="66"/>
      <c r="Y36" s="66"/>
      <c r="Z36" s="66"/>
      <c r="AA36" s="66"/>
      <c r="AB36" s="66"/>
      <c r="AC36" s="66"/>
      <c r="AD36" s="66"/>
    </row>
    <row r="37" spans="1:30" s="37" customFormat="1" ht="15" customHeight="1">
      <c r="A37" s="71"/>
      <c r="B37" s="71"/>
      <c r="C37" s="186" t="s">
        <v>630</v>
      </c>
      <c r="D37" s="73">
        <f>1123+3161</f>
        <v>4284</v>
      </c>
      <c r="E37" s="65">
        <v>4284</v>
      </c>
      <c r="F37" s="212">
        <v>2922</v>
      </c>
      <c r="G37" s="205"/>
      <c r="H37" s="65"/>
      <c r="I37" s="212"/>
      <c r="J37" s="205"/>
      <c r="K37" s="65"/>
      <c r="L37" s="212"/>
      <c r="M37" s="205"/>
      <c r="N37" s="65"/>
      <c r="O37" s="212"/>
      <c r="P37" s="205"/>
      <c r="Q37" s="65"/>
      <c r="R37" s="212"/>
      <c r="S37" s="234">
        <f t="shared" si="3"/>
        <v>4284</v>
      </c>
      <c r="T37" s="87">
        <f t="shared" si="2"/>
        <v>4284</v>
      </c>
      <c r="U37" s="119">
        <f t="shared" si="2"/>
        <v>2922</v>
      </c>
      <c r="V37" s="66"/>
      <c r="W37" s="66"/>
      <c r="X37" s="66"/>
      <c r="Y37" s="66"/>
      <c r="Z37" s="66"/>
      <c r="AA37" s="66"/>
      <c r="AB37" s="66"/>
      <c r="AC37" s="66"/>
      <c r="AD37" s="66"/>
    </row>
    <row r="38" spans="1:30" s="6" customFormat="1" ht="24" customHeight="1">
      <c r="A38" s="16"/>
      <c r="B38" s="16"/>
      <c r="C38" s="174" t="s">
        <v>770</v>
      </c>
      <c r="D38" s="18">
        <f>SUM(D39:D40)</f>
        <v>134015</v>
      </c>
      <c r="E38" s="17">
        <f>SUM(E39:E40)</f>
        <v>134065</v>
      </c>
      <c r="F38" s="209">
        <f>SUM(F39:F40)</f>
        <v>134049</v>
      </c>
      <c r="G38" s="195"/>
      <c r="H38" s="17"/>
      <c r="I38" s="209"/>
      <c r="J38" s="195"/>
      <c r="K38" s="17"/>
      <c r="L38" s="209"/>
      <c r="M38" s="195"/>
      <c r="N38" s="17"/>
      <c r="O38" s="209"/>
      <c r="P38" s="195"/>
      <c r="Q38" s="17"/>
      <c r="R38" s="209"/>
      <c r="S38" s="233">
        <f t="shared" si="3"/>
        <v>134015</v>
      </c>
      <c r="T38" s="87">
        <f t="shared" si="2"/>
        <v>134065</v>
      </c>
      <c r="U38" s="119">
        <f t="shared" si="2"/>
        <v>134049</v>
      </c>
      <c r="V38" s="5"/>
      <c r="W38" s="5"/>
      <c r="X38" s="5"/>
      <c r="Y38" s="5"/>
      <c r="Z38" s="5"/>
      <c r="AA38" s="5"/>
      <c r="AB38" s="5"/>
      <c r="AC38" s="5"/>
      <c r="AD38" s="5"/>
    </row>
    <row r="39" spans="1:30" s="37" customFormat="1" ht="15" customHeight="1">
      <c r="A39" s="71"/>
      <c r="B39" s="71"/>
      <c r="C39" s="187" t="s">
        <v>731</v>
      </c>
      <c r="D39" s="73">
        <f>22729-2850</f>
        <v>19879</v>
      </c>
      <c r="E39" s="65">
        <v>19929</v>
      </c>
      <c r="F39" s="212">
        <v>19913</v>
      </c>
      <c r="G39" s="205"/>
      <c r="H39" s="65"/>
      <c r="I39" s="212"/>
      <c r="J39" s="205"/>
      <c r="K39" s="65"/>
      <c r="L39" s="212"/>
      <c r="M39" s="205"/>
      <c r="N39" s="65"/>
      <c r="O39" s="212"/>
      <c r="P39" s="205"/>
      <c r="Q39" s="65"/>
      <c r="R39" s="212"/>
      <c r="S39" s="234">
        <f t="shared" si="3"/>
        <v>19879</v>
      </c>
      <c r="T39" s="87">
        <f t="shared" si="2"/>
        <v>19929</v>
      </c>
      <c r="U39" s="119">
        <f t="shared" si="2"/>
        <v>19913</v>
      </c>
      <c r="V39" s="66"/>
      <c r="W39" s="66"/>
      <c r="X39" s="66"/>
      <c r="Y39" s="66"/>
      <c r="Z39" s="66"/>
      <c r="AA39" s="66"/>
      <c r="AB39" s="66"/>
      <c r="AC39" s="66"/>
      <c r="AD39" s="66"/>
    </row>
    <row r="40" spans="1:30" s="37" customFormat="1" ht="15" customHeight="1">
      <c r="A40" s="71"/>
      <c r="B40" s="71"/>
      <c r="C40" s="187" t="s">
        <v>771</v>
      </c>
      <c r="D40" s="73">
        <v>114136</v>
      </c>
      <c r="E40" s="65">
        <v>114136</v>
      </c>
      <c r="F40" s="212">
        <v>114136</v>
      </c>
      <c r="G40" s="205"/>
      <c r="H40" s="65"/>
      <c r="I40" s="212"/>
      <c r="J40" s="205"/>
      <c r="K40" s="65"/>
      <c r="L40" s="212"/>
      <c r="M40" s="205"/>
      <c r="N40" s="65"/>
      <c r="O40" s="212"/>
      <c r="P40" s="205"/>
      <c r="Q40" s="65"/>
      <c r="R40" s="212"/>
      <c r="S40" s="234">
        <f t="shared" si="3"/>
        <v>114136</v>
      </c>
      <c r="T40" s="87">
        <f t="shared" si="2"/>
        <v>114136</v>
      </c>
      <c r="U40" s="119">
        <f t="shared" si="2"/>
        <v>114136</v>
      </c>
      <c r="V40" s="66"/>
      <c r="W40" s="66"/>
      <c r="X40" s="66"/>
      <c r="Y40" s="66"/>
      <c r="Z40" s="66"/>
      <c r="AA40" s="66"/>
      <c r="AB40" s="66"/>
      <c r="AC40" s="66"/>
      <c r="AD40" s="66"/>
    </row>
    <row r="41" spans="1:30" s="37" customFormat="1" ht="15" customHeight="1">
      <c r="A41" s="71"/>
      <c r="B41" s="71"/>
      <c r="C41" s="188" t="s">
        <v>1003</v>
      </c>
      <c r="D41" s="29"/>
      <c r="E41" s="17"/>
      <c r="F41" s="209">
        <v>461365</v>
      </c>
      <c r="G41" s="205"/>
      <c r="H41" s="285"/>
      <c r="I41" s="212"/>
      <c r="J41" s="205"/>
      <c r="K41" s="65"/>
      <c r="L41" s="212"/>
      <c r="M41" s="205"/>
      <c r="N41" s="65"/>
      <c r="O41" s="212"/>
      <c r="P41" s="205"/>
      <c r="Q41" s="65"/>
      <c r="R41" s="212"/>
      <c r="S41" s="234"/>
      <c r="T41" s="87"/>
      <c r="U41" s="119">
        <f t="shared" si="2"/>
        <v>461365</v>
      </c>
      <c r="V41" s="66"/>
      <c r="W41" s="66"/>
      <c r="X41" s="66"/>
      <c r="Y41" s="66"/>
      <c r="Z41" s="66"/>
      <c r="AA41" s="66"/>
      <c r="AB41" s="66"/>
      <c r="AC41" s="66"/>
      <c r="AD41" s="66"/>
    </row>
    <row r="42" spans="1:30" s="6" customFormat="1" ht="15" customHeight="1">
      <c r="A42" s="16"/>
      <c r="B42" s="16"/>
      <c r="C42" s="188" t="s">
        <v>804</v>
      </c>
      <c r="D42" s="29"/>
      <c r="E42" s="17"/>
      <c r="F42" s="209">
        <v>101</v>
      </c>
      <c r="G42" s="206"/>
      <c r="H42" s="90">
        <f>SUM(H43:H44)</f>
        <v>451507</v>
      </c>
      <c r="I42" s="209">
        <f>SUM(I43+I44)</f>
        <v>463507</v>
      </c>
      <c r="J42" s="206"/>
      <c r="K42" s="17"/>
      <c r="L42" s="209">
        <v>32</v>
      </c>
      <c r="M42" s="206"/>
      <c r="N42" s="17"/>
      <c r="O42" s="209">
        <v>32926</v>
      </c>
      <c r="P42" s="206"/>
      <c r="Q42" s="17"/>
      <c r="R42" s="209">
        <v>16300</v>
      </c>
      <c r="S42" s="234"/>
      <c r="T42" s="87">
        <f t="shared" si="2"/>
        <v>451507</v>
      </c>
      <c r="U42" s="119">
        <f>SUM(F42+I42+L42+O42+R42)</f>
        <v>512866</v>
      </c>
      <c r="V42" s="5"/>
      <c r="W42" s="5"/>
      <c r="X42" s="5"/>
      <c r="Y42" s="5"/>
      <c r="Z42" s="5"/>
      <c r="AA42" s="5"/>
      <c r="AB42" s="5"/>
      <c r="AC42" s="5"/>
      <c r="AD42" s="5"/>
    </row>
    <row r="43" spans="1:30" s="37" customFormat="1" ht="15" customHeight="1">
      <c r="A43" s="71"/>
      <c r="B43" s="71"/>
      <c r="C43" s="189" t="s">
        <v>805</v>
      </c>
      <c r="D43" s="73"/>
      <c r="E43" s="65"/>
      <c r="F43" s="212">
        <v>101</v>
      </c>
      <c r="G43" s="205"/>
      <c r="H43" s="65">
        <v>123538</v>
      </c>
      <c r="I43" s="212">
        <v>135538</v>
      </c>
      <c r="J43" s="205"/>
      <c r="K43" s="65"/>
      <c r="L43" s="212">
        <v>32</v>
      </c>
      <c r="M43" s="205"/>
      <c r="N43" s="65"/>
      <c r="O43" s="212">
        <v>32926</v>
      </c>
      <c r="P43" s="205"/>
      <c r="Q43" s="65"/>
      <c r="R43" s="212">
        <v>16300</v>
      </c>
      <c r="S43" s="234"/>
      <c r="T43" s="87">
        <f t="shared" si="2"/>
        <v>123538</v>
      </c>
      <c r="U43" s="119">
        <f>SUM(F43+I43+L43+O43+R43)</f>
        <v>184897</v>
      </c>
      <c r="V43" s="66"/>
      <c r="W43" s="66"/>
      <c r="X43" s="66"/>
      <c r="Y43" s="66"/>
      <c r="Z43" s="66"/>
      <c r="AA43" s="66"/>
      <c r="AB43" s="66"/>
      <c r="AC43" s="66"/>
      <c r="AD43" s="66"/>
    </row>
    <row r="44" spans="1:30" s="37" customFormat="1" ht="15" customHeight="1">
      <c r="A44" s="71"/>
      <c r="B44" s="71"/>
      <c r="C44" s="189" t="s">
        <v>806</v>
      </c>
      <c r="D44" s="73"/>
      <c r="E44" s="65"/>
      <c r="F44" s="212"/>
      <c r="G44" s="205"/>
      <c r="H44" s="65">
        <v>327969</v>
      </c>
      <c r="I44" s="212">
        <v>327969</v>
      </c>
      <c r="J44" s="205"/>
      <c r="K44" s="65"/>
      <c r="L44" s="212"/>
      <c r="M44" s="205"/>
      <c r="N44" s="65"/>
      <c r="O44" s="212"/>
      <c r="P44" s="205"/>
      <c r="Q44" s="65"/>
      <c r="R44" s="212"/>
      <c r="S44" s="234"/>
      <c r="T44" s="87">
        <f t="shared" si="2"/>
        <v>327969</v>
      </c>
      <c r="U44" s="119">
        <f t="shared" si="2"/>
        <v>327969</v>
      </c>
      <c r="V44" s="66"/>
      <c r="W44" s="66"/>
      <c r="X44" s="66"/>
      <c r="Y44" s="66"/>
      <c r="Z44" s="66"/>
      <c r="AA44" s="66"/>
      <c r="AB44" s="66"/>
      <c r="AC44" s="66"/>
      <c r="AD44" s="66"/>
    </row>
    <row r="45" spans="1:30" s="6" customFormat="1" ht="15" customHeight="1">
      <c r="A45" s="16"/>
      <c r="B45" s="16"/>
      <c r="C45" s="281" t="s">
        <v>529</v>
      </c>
      <c r="D45" s="29"/>
      <c r="E45" s="90"/>
      <c r="F45" s="282">
        <v>-26932</v>
      </c>
      <c r="G45" s="206"/>
      <c r="H45" s="90"/>
      <c r="I45" s="282">
        <v>12377</v>
      </c>
      <c r="J45" s="206"/>
      <c r="K45" s="90"/>
      <c r="L45" s="282">
        <v>-5</v>
      </c>
      <c r="M45" s="206"/>
      <c r="N45" s="90"/>
      <c r="O45" s="282">
        <v>-19376</v>
      </c>
      <c r="P45" s="206"/>
      <c r="Q45" s="90"/>
      <c r="R45" s="282">
        <v>-30062</v>
      </c>
      <c r="S45" s="283"/>
      <c r="T45" s="276"/>
      <c r="U45" s="119">
        <f t="shared" si="2"/>
        <v>-63998</v>
      </c>
      <c r="V45" s="5"/>
      <c r="W45" s="5"/>
      <c r="X45" s="5"/>
      <c r="Y45" s="5"/>
      <c r="Z45" s="5"/>
      <c r="AA45" s="5"/>
      <c r="AB45" s="5"/>
      <c r="AC45" s="5"/>
      <c r="AD45" s="5"/>
    </row>
    <row r="46" spans="1:30" s="6" customFormat="1" ht="15" customHeight="1" thickBot="1">
      <c r="A46" s="16"/>
      <c r="B46" s="16"/>
      <c r="C46" s="190" t="s">
        <v>632</v>
      </c>
      <c r="D46" s="191">
        <f>SUM(D6,D7,D8,D10,D14,D15,D16,D17,D18,D19,D25,D35,D38,D21,D20)</f>
        <v>5896985</v>
      </c>
      <c r="E46" s="192">
        <f>SUM(E6,E7,E8,E10,E14,E15,E16,E17,E18,E19,E25,E35,E38,E21,E20)</f>
        <v>2481088</v>
      </c>
      <c r="F46" s="215">
        <f>SUM(F6+F7+F8+F10+F14+F15+F16+F25+F35+F38+F42+F45+F41)</f>
        <v>1974639</v>
      </c>
      <c r="G46" s="207">
        <f>SUM(G6,G7,G8,G10,G14,G15,G16,G17,G18,G19,G25,G35,G38,G21,G20)</f>
        <v>603639</v>
      </c>
      <c r="H46" s="192">
        <f>SUM(H6:H8,H12,H25+H42+H14)</f>
        <v>1235409</v>
      </c>
      <c r="I46" s="215">
        <f>SUM(I6+I7+I8+I10+I14+I25+I42+I45)</f>
        <v>1209259</v>
      </c>
      <c r="J46" s="207">
        <f>SUM(J6,J7,J8,J10,J14,J15,J16,J17,J18,J19,J25,J35,J38,J21,J20)</f>
        <v>16864</v>
      </c>
      <c r="K46" s="192">
        <f>SUM(K6:K8)</f>
        <v>17337</v>
      </c>
      <c r="L46" s="215">
        <f>SUM(L6+L7+L8+L42+L45)</f>
        <v>13773</v>
      </c>
      <c r="M46" s="207">
        <f>SUM(M6+M7+M8+M13+M14+M15)</f>
        <v>1564605</v>
      </c>
      <c r="N46" s="192">
        <f>SUM(N6+N7+N8+N10+N14+N15)</f>
        <v>1725583</v>
      </c>
      <c r="O46" s="215">
        <f>SUM(O6+O7+O8+O10+O14+O15+O42+O45)</f>
        <v>1702606</v>
      </c>
      <c r="P46" s="207">
        <f>SUM(P6+P7+P8+P15)</f>
        <v>761450</v>
      </c>
      <c r="Q46" s="192">
        <f>SUM(Q6:Q14)</f>
        <v>318441</v>
      </c>
      <c r="R46" s="215">
        <f>SUM(R6+R7+R8+R10+R14+R45+R42)</f>
        <v>288378</v>
      </c>
      <c r="S46" s="236">
        <f>SUM(D46,G46,J46,M46,P46)</f>
        <v>8843543</v>
      </c>
      <c r="T46" s="227">
        <f t="shared" si="2"/>
        <v>5777858</v>
      </c>
      <c r="U46" s="171">
        <f>SUM(F46+I46+L46+O46+R46)</f>
        <v>5188655</v>
      </c>
      <c r="V46" s="5"/>
      <c r="W46" s="5"/>
      <c r="X46" s="5"/>
      <c r="Y46" s="5"/>
      <c r="Z46" s="5"/>
      <c r="AA46" s="5"/>
      <c r="AB46" s="5"/>
      <c r="AC46" s="5"/>
      <c r="AD46" s="5"/>
    </row>
    <row r="47" s="1" customFormat="1" ht="25.5" customHeight="1"/>
    <row r="48" s="1" customFormat="1" ht="25.5" customHeight="1"/>
    <row r="49" spans="3:30" ht="25.5" customHeight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3:30" ht="25.5" customHeight="1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3:30" ht="25.5" customHeight="1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3:30" ht="25.5" customHeight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  <row r="53" spans="3:30" ht="25.5" customHeight="1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3:30" ht="25.5" customHeight="1"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3:30" ht="25.5" customHeight="1"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3:30" ht="25.5" customHeight="1"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3:30" ht="25.5" customHeight="1"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3:30" ht="25.5" customHeight="1"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</row>
    <row r="59" spans="3:30" ht="25.5" customHeight="1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</row>
    <row r="60" spans="3:30" ht="25.5" customHeight="1"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</row>
    <row r="61" spans="3:30" ht="25.5" customHeight="1"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</row>
    <row r="62" spans="3:30" ht="25.5" customHeight="1"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</row>
    <row r="63" spans="3:30" ht="25.5" customHeight="1"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</row>
    <row r="64" spans="3:30" ht="25.5" customHeight="1"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3:30" ht="25.5" customHeight="1"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3:30" ht="25.5" customHeight="1"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3:30" ht="25.5" customHeight="1"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</row>
    <row r="68" spans="3:30" ht="25.5" customHeight="1"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</row>
    <row r="69" spans="3:30" ht="25.5" customHeight="1"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</row>
    <row r="70" spans="3:30" ht="25.5" customHeight="1"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</row>
    <row r="71" spans="3:30" ht="25.5" customHeight="1"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</row>
    <row r="72" spans="3:30" ht="25.5" customHeight="1"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</row>
    <row r="73" spans="3:18" ht="25.5" customHeight="1"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3:18" ht="25.5" customHeight="1"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3:18" ht="25.5" customHeight="1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3:18" ht="25.5" customHeight="1"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3:18" ht="25.5" customHeight="1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3:18" ht="25.5" customHeigh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3:18" ht="25.5" customHeight="1"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3:18" ht="25.5" customHeight="1"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3:18" ht="25.5" customHeight="1"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3:18" ht="25.5" customHeight="1"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3:18" ht="25.5" customHeight="1"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3:18" ht="25.5" customHeight="1"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3:18" ht="25.5" customHeight="1"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3:18" ht="25.5" customHeight="1"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3:18" ht="25.5" customHeight="1"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3:18" ht="25.5" customHeight="1"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3:18" ht="25.5" customHeight="1"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3:18" ht="25.5" customHeight="1"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3:18" ht="25.5" customHeight="1"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3:18" ht="25.5" customHeight="1"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3:18" ht="25.5" customHeight="1"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3:18" ht="25.5" customHeight="1"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3:18" ht="25.5" customHeight="1"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3:18" ht="25.5" customHeight="1"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3:18" ht="25.5" customHeight="1"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3:18" ht="25.5" customHeight="1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3:18" ht="25.5" customHeight="1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3:18" ht="25.5" customHeight="1"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3:18" ht="25.5" customHeight="1"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3:18" ht="25.5" customHeight="1"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3:18" ht="25.5" customHeight="1"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3:18" ht="25.5" customHeight="1"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3:18" ht="25.5" customHeight="1"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3:18" ht="25.5" customHeight="1"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3:18" ht="25.5" customHeight="1"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3:18" ht="25.5" customHeight="1"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3:18" ht="25.5" customHeight="1"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3:18" ht="25.5" customHeight="1"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3:18" ht="25.5" customHeight="1"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3:18" ht="25.5" customHeight="1"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3:18" ht="25.5" customHeight="1"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3:18" ht="25.5" customHeight="1"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3:18" ht="25.5" customHeight="1"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3:18" ht="25.5" customHeight="1"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3:18" ht="25.5" customHeight="1"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3:18" ht="25.5" customHeight="1"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3:18" ht="25.5" customHeight="1"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3:18" ht="25.5" customHeight="1"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3:18" ht="25.5" customHeight="1"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3:18" ht="25.5" customHeight="1"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3:18" ht="25.5" customHeight="1"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3:18" ht="25.5" customHeight="1"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3:18" ht="25.5" customHeight="1"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3:18" ht="25.5" customHeight="1"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3:18" ht="25.5" customHeight="1"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3:18" ht="25.5" customHeight="1"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3:18" ht="25.5" customHeight="1"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3:18" ht="25.5" customHeight="1"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3:18" ht="25.5" customHeight="1"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3:18" ht="25.5" customHeight="1"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3:18" ht="25.5" customHeight="1"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3:18" ht="25.5" customHeight="1"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3:18" ht="25.5" customHeight="1"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3:18" ht="25.5" customHeight="1"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3:18" ht="25.5" customHeight="1"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3:18" ht="25.5" customHeight="1"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3:18" ht="25.5" customHeight="1"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3:18" ht="25.5" customHeight="1"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3:18" ht="25.5" customHeight="1"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3:18" ht="25.5" customHeight="1"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3:18" ht="25.5" customHeight="1"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3:18" ht="25.5" customHeight="1"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3:18" ht="25.5" customHeight="1"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3:18" ht="25.5" customHeight="1"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3:18" ht="25.5" customHeight="1"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3:18" ht="25.5" customHeight="1"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3:18" ht="25.5" customHeight="1"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3:18" ht="25.5" customHeight="1"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3:18" ht="25.5" customHeight="1"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3:18" ht="25.5" customHeight="1"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3:18" ht="25.5" customHeight="1"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3:18" ht="25.5" customHeight="1"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3:18" ht="25.5" customHeight="1"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3:18" ht="25.5" customHeight="1"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3:18" ht="25.5" customHeight="1"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3:18" ht="25.5" customHeight="1"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3:18" ht="25.5" customHeight="1"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3:18" ht="25.5" customHeight="1"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3:18" ht="25.5" customHeight="1"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3:18" ht="25.5" customHeight="1"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3:18" ht="25.5" customHeight="1"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3:18" ht="25.5" customHeight="1"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3:18" ht="25.5" customHeight="1"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3:18" ht="25.5" customHeight="1"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3:18" ht="25.5" customHeight="1"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3:18" ht="25.5" customHeight="1"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3:18" ht="25.5" customHeight="1"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3:18" ht="25.5" customHeight="1"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3:18" ht="25.5" customHeight="1"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3:18" ht="25.5" customHeight="1"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3:18" ht="25.5" customHeight="1"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3:18" ht="25.5" customHeight="1"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3:18" ht="25.5" customHeight="1"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3:18" ht="25.5" customHeight="1"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3:18" ht="25.5" customHeight="1"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3:18" ht="25.5" customHeight="1"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3:18" ht="25.5" customHeight="1"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3:18" ht="25.5" customHeight="1"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3:18" ht="25.5" customHeight="1"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3:18" ht="25.5" customHeight="1"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3:18" ht="25.5" customHeight="1"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3:18" ht="25.5" customHeight="1"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3:18" ht="25.5" customHeight="1"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3:18" ht="25.5" customHeight="1"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3:18" ht="25.5" customHeight="1"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3:18" ht="25.5" customHeight="1"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3:18" ht="25.5" customHeight="1"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3:18" ht="25.5" customHeight="1"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3:18" ht="25.5" customHeight="1"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3:18" ht="25.5" customHeight="1"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3:18" ht="25.5" customHeight="1"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3:18" ht="25.5" customHeight="1"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3:18" ht="25.5" customHeight="1"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3:18" ht="25.5" customHeight="1"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3:18" ht="25.5" customHeight="1"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3:18" ht="25.5" customHeight="1"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3:18" ht="25.5" customHeight="1"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3:18" ht="25.5" customHeight="1"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3:18" ht="25.5" customHeight="1"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3:18" ht="25.5" customHeight="1"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3:18" ht="25.5" customHeight="1"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3:18" ht="25.5" customHeight="1"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3:18" ht="25.5" customHeight="1"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3:18" ht="25.5" customHeight="1"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3:18" ht="25.5" customHeight="1"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3:18" ht="25.5" customHeight="1"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3:18" ht="25.5" customHeight="1"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3:18" ht="25.5" customHeight="1"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3:18" ht="25.5" customHeight="1"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3:18" ht="25.5" customHeight="1"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3:18" ht="25.5" customHeight="1"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3:18" ht="25.5" customHeight="1"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3:18" ht="25.5" customHeight="1"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3:18" ht="25.5" customHeight="1"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3:18" ht="25.5" customHeight="1"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3:18" ht="25.5" customHeight="1"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3:18" ht="25.5" customHeight="1"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3:18" ht="25.5" customHeight="1"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3:18" ht="25.5" customHeight="1"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3:18" ht="25.5" customHeight="1"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3:18" ht="25.5" customHeight="1"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3:18" ht="25.5" customHeight="1"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3:18" ht="25.5" customHeight="1"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3:18" ht="25.5" customHeight="1"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3:18" ht="25.5" customHeight="1"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3:18" ht="25.5" customHeight="1"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3:18" ht="25.5" customHeight="1"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3:18" ht="25.5" customHeight="1"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3:18" ht="25.5" customHeight="1"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3:18" ht="25.5" customHeight="1"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3:18" ht="25.5" customHeight="1"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3:18" ht="25.5" customHeight="1"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3:18" ht="25.5" customHeight="1"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3:18" ht="25.5" customHeight="1"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3:18" ht="25.5" customHeight="1"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3:18" ht="25.5" customHeight="1"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3:18" ht="25.5" customHeight="1"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3:18" ht="25.5" customHeight="1"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3:18" ht="25.5" customHeight="1"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3:18" ht="25.5" customHeight="1"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3:18" ht="25.5" customHeight="1"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3:18" ht="25.5" customHeight="1"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3:18" ht="25.5" customHeight="1"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3:18" ht="25.5" customHeight="1"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3:18" ht="25.5" customHeight="1"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3:18" ht="25.5" customHeight="1"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3:18" ht="25.5" customHeight="1"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3:18" ht="25.5" customHeight="1"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</row>
    <row r="251" spans="3:18" ht="25.5" customHeight="1"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</row>
    <row r="252" spans="3:18" ht="25.5" customHeight="1"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</row>
    <row r="253" spans="3:18" ht="25.5" customHeight="1"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</row>
    <row r="254" spans="3:18" ht="25.5" customHeight="1"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</row>
    <row r="255" spans="3:18" ht="25.5" customHeight="1"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</row>
    <row r="256" spans="3:18" ht="25.5" customHeight="1"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</row>
    <row r="257" spans="3:18" ht="25.5" customHeight="1"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</row>
    <row r="258" spans="3:18" ht="25.5" customHeight="1"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</row>
    <row r="259" spans="3:18" ht="25.5" customHeight="1"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</row>
    <row r="260" spans="3:18" ht="25.5" customHeight="1"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</row>
    <row r="261" spans="3:18" ht="25.5" customHeight="1"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</row>
    <row r="262" spans="3:18" ht="25.5" customHeight="1"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</row>
    <row r="263" spans="3:18" ht="25.5" customHeight="1"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</row>
    <row r="264" spans="3:18" ht="25.5" customHeight="1"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</row>
    <row r="265" spans="3:18" ht="25.5" customHeight="1"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</row>
    <row r="266" spans="3:18" ht="25.5" customHeight="1"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</row>
    <row r="267" spans="3:18" ht="25.5" customHeight="1"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</row>
    <row r="268" spans="3:18" ht="25.5" customHeight="1"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</row>
    <row r="269" spans="3:18" ht="25.5" customHeight="1"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</row>
    <row r="270" spans="3:18" ht="25.5" customHeight="1"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</row>
    <row r="271" spans="3:18" ht="25.5" customHeight="1"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</row>
    <row r="272" spans="3:18" ht="25.5" customHeight="1"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</row>
    <row r="273" spans="3:18" ht="25.5" customHeight="1"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</row>
    <row r="274" spans="3:18" ht="25.5" customHeight="1"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</row>
    <row r="275" spans="3:18" ht="25.5" customHeight="1"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</row>
    <row r="276" spans="3:18" ht="25.5" customHeight="1"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</row>
    <row r="277" spans="3:18" ht="25.5" customHeight="1"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</row>
  </sheetData>
  <mergeCells count="9">
    <mergeCell ref="C1:T1"/>
    <mergeCell ref="C2:T2"/>
    <mergeCell ref="C4:C5"/>
    <mergeCell ref="D4:F4"/>
    <mergeCell ref="S4:U4"/>
    <mergeCell ref="G4:I4"/>
    <mergeCell ref="J4:L4"/>
    <mergeCell ref="M4:O4"/>
    <mergeCell ref="P4:R4"/>
  </mergeCells>
  <printOptions horizontalCentered="1"/>
  <pageMargins left="0.2" right="0" top="0.3937007874015748" bottom="0.3937007874015748" header="0.3937007874015748" footer="0.3937007874015748"/>
  <pageSetup horizontalDpi="600" verticalDpi="600" orientation="landscape" paperSize="9" scale="54" r:id="rId1"/>
  <headerFooter alignWithMargins="0">
    <oddHeader>&amp;L&amp;8 4. melléklet a 14/2013. (V.2.) önkormányzati rendelethez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990"/>
  <sheetViews>
    <sheetView view="pageBreakPreview" zoomScaleSheetLayoutView="100" workbookViewId="0" topLeftCell="C122">
      <selection activeCell="E151" sqref="E151"/>
    </sheetView>
  </sheetViews>
  <sheetFormatPr defaultColWidth="9.00390625" defaultRowHeight="12.75"/>
  <cols>
    <col min="1" max="1" width="8.00390625" style="507" customWidth="1"/>
    <col min="2" max="2" width="53.00390625" style="508" customWidth="1"/>
    <col min="3" max="3" width="15.25390625" style="509" customWidth="1"/>
    <col min="4" max="4" width="9.25390625" style="510" customWidth="1"/>
    <col min="5" max="5" width="9.00390625" style="508" customWidth="1"/>
    <col min="6" max="6" width="9.75390625" style="508" customWidth="1"/>
    <col min="7" max="7" width="11.125" style="508" customWidth="1"/>
    <col min="8" max="8" width="9.625" style="508" customWidth="1"/>
    <col min="9" max="9" width="9.375" style="508" customWidth="1"/>
    <col min="10" max="10" width="10.125" style="508" customWidth="1"/>
    <col min="11" max="11" width="9.375" style="508" customWidth="1"/>
    <col min="12" max="12" width="9.25390625" style="508" bestFit="1" customWidth="1"/>
    <col min="13" max="13" width="8.875" style="512" customWidth="1"/>
    <col min="14" max="14" width="10.875" style="508" customWidth="1"/>
    <col min="15" max="16384" width="9.125" style="508" customWidth="1"/>
  </cols>
  <sheetData>
    <row r="1" spans="1:2" ht="12.75">
      <c r="A1" s="1387"/>
      <c r="B1" s="1388"/>
    </row>
    <row r="2" ht="10.5" customHeight="1"/>
    <row r="3" spans="1:14" ht="15.75" customHeight="1">
      <c r="A3" s="1389" t="s">
        <v>81</v>
      </c>
      <c r="B3" s="1389"/>
      <c r="C3" s="1389"/>
      <c r="D3" s="1389"/>
      <c r="E3" s="1389"/>
      <c r="F3" s="1389"/>
      <c r="G3" s="1389"/>
      <c r="H3" s="1389"/>
      <c r="I3" s="1389"/>
      <c r="J3" s="1389"/>
      <c r="K3" s="1389"/>
      <c r="L3" s="1389"/>
      <c r="M3" s="1389"/>
      <c r="N3" s="1389"/>
    </row>
    <row r="4" spans="1:14" ht="12.75" customHeight="1">
      <c r="A4" s="1390"/>
      <c r="B4" s="1390"/>
      <c r="C4" s="1390"/>
      <c r="D4" s="1390"/>
      <c r="E4" s="1390"/>
      <c r="F4" s="1390"/>
      <c r="G4" s="1390"/>
      <c r="H4" s="1390"/>
      <c r="I4" s="1390"/>
      <c r="J4" s="1390"/>
      <c r="K4" s="1390"/>
      <c r="L4" s="1390"/>
      <c r="M4" s="1390"/>
      <c r="N4" s="1390"/>
    </row>
    <row r="5" spans="12:14" ht="11.25" customHeight="1" thickBot="1">
      <c r="L5" s="510"/>
      <c r="M5" s="513"/>
      <c r="N5" s="513" t="s">
        <v>30</v>
      </c>
    </row>
    <row r="6" spans="1:14" s="543" customFormat="1" ht="13.5" customHeight="1" thickBot="1">
      <c r="A6" s="1391" t="s">
        <v>873</v>
      </c>
      <c r="B6" s="1392"/>
      <c r="C6" s="1392"/>
      <c r="D6" s="1397" t="s">
        <v>31</v>
      </c>
      <c r="E6" s="1400" t="s">
        <v>32</v>
      </c>
      <c r="F6" s="1374" t="s">
        <v>822</v>
      </c>
      <c r="G6" s="1374"/>
      <c r="H6" s="1374"/>
      <c r="I6" s="1374"/>
      <c r="J6" s="1374"/>
      <c r="K6" s="1374" t="s">
        <v>823</v>
      </c>
      <c r="L6" s="1374"/>
      <c r="M6" s="1380" t="s">
        <v>33</v>
      </c>
      <c r="N6" s="1375" t="s">
        <v>34</v>
      </c>
    </row>
    <row r="7" spans="1:14" s="543" customFormat="1" ht="12" customHeight="1" thickBot="1" thickTop="1">
      <c r="A7" s="1393"/>
      <c r="B7" s="1394"/>
      <c r="C7" s="1394"/>
      <c r="D7" s="1398"/>
      <c r="E7" s="1401"/>
      <c r="F7" s="1370" t="s">
        <v>35</v>
      </c>
      <c r="G7" s="1370" t="s">
        <v>36</v>
      </c>
      <c r="H7" s="1370" t="s">
        <v>37</v>
      </c>
      <c r="I7" s="1370" t="s">
        <v>38</v>
      </c>
      <c r="J7" s="1370" t="s">
        <v>39</v>
      </c>
      <c r="K7" s="1378" t="s">
        <v>765</v>
      </c>
      <c r="L7" s="1378" t="s">
        <v>762</v>
      </c>
      <c r="M7" s="1381"/>
      <c r="N7" s="1376"/>
    </row>
    <row r="8" spans="1:14" s="543" customFormat="1" ht="39" customHeight="1" thickBot="1" thickTop="1">
      <c r="A8" s="1395"/>
      <c r="B8" s="1396"/>
      <c r="C8" s="1396"/>
      <c r="D8" s="1399"/>
      <c r="E8" s="1402"/>
      <c r="F8" s="1371"/>
      <c r="G8" s="1371"/>
      <c r="H8" s="1371"/>
      <c r="I8" s="1371"/>
      <c r="J8" s="1371"/>
      <c r="K8" s="1379"/>
      <c r="L8" s="1379"/>
      <c r="M8" s="1382"/>
      <c r="N8" s="1377"/>
    </row>
    <row r="9" spans="1:14" s="543" customFormat="1" ht="15" customHeight="1">
      <c r="A9" s="595" t="s">
        <v>82</v>
      </c>
      <c r="B9" s="596" t="s">
        <v>83</v>
      </c>
      <c r="C9" s="597" t="s">
        <v>754</v>
      </c>
      <c r="D9" s="598">
        <v>400</v>
      </c>
      <c r="E9" s="599">
        <f aca="true" t="shared" si="0" ref="E9:E40">SUM(F9:N9)</f>
        <v>8731</v>
      </c>
      <c r="F9" s="558"/>
      <c r="G9" s="558"/>
      <c r="H9" s="558">
        <v>8185</v>
      </c>
      <c r="I9" s="558">
        <v>546</v>
      </c>
      <c r="J9" s="558"/>
      <c r="K9" s="558"/>
      <c r="L9" s="558"/>
      <c r="M9" s="558"/>
      <c r="N9" s="559"/>
    </row>
    <row r="10" spans="1:14" s="543" customFormat="1" ht="15" customHeight="1">
      <c r="A10" s="536"/>
      <c r="B10" s="537"/>
      <c r="C10" s="600" t="s">
        <v>550</v>
      </c>
      <c r="D10" s="601">
        <v>400</v>
      </c>
      <c r="E10" s="532">
        <f t="shared" si="0"/>
        <v>6505</v>
      </c>
      <c r="F10" s="534"/>
      <c r="G10" s="534"/>
      <c r="H10" s="534">
        <v>5959</v>
      </c>
      <c r="I10" s="534">
        <v>546</v>
      </c>
      <c r="J10" s="534"/>
      <c r="K10" s="534"/>
      <c r="L10" s="534"/>
      <c r="M10" s="534"/>
      <c r="N10" s="535"/>
    </row>
    <row r="11" spans="1:14" s="543" customFormat="1" ht="15" customHeight="1">
      <c r="A11" s="536"/>
      <c r="B11" s="537"/>
      <c r="C11" s="600" t="s">
        <v>535</v>
      </c>
      <c r="D11" s="601">
        <v>324</v>
      </c>
      <c r="E11" s="532">
        <f t="shared" si="0"/>
        <v>6481</v>
      </c>
      <c r="F11" s="534"/>
      <c r="G11" s="534"/>
      <c r="H11" s="534">
        <v>5935</v>
      </c>
      <c r="I11" s="534">
        <v>546</v>
      </c>
      <c r="J11" s="534"/>
      <c r="K11" s="534"/>
      <c r="L11" s="534"/>
      <c r="M11" s="534"/>
      <c r="N11" s="535"/>
    </row>
    <row r="12" spans="1:14" s="543" customFormat="1" ht="15" customHeight="1">
      <c r="A12" s="538">
        <v>360000</v>
      </c>
      <c r="B12" s="539" t="s">
        <v>84</v>
      </c>
      <c r="C12" s="602" t="s">
        <v>754</v>
      </c>
      <c r="D12" s="601">
        <v>432284</v>
      </c>
      <c r="E12" s="532">
        <f t="shared" si="0"/>
        <v>468220</v>
      </c>
      <c r="F12" s="534"/>
      <c r="G12" s="534"/>
      <c r="H12" s="534">
        <v>600</v>
      </c>
      <c r="I12" s="534">
        <v>78</v>
      </c>
      <c r="J12" s="534"/>
      <c r="K12" s="534"/>
      <c r="L12" s="534"/>
      <c r="M12" s="534"/>
      <c r="N12" s="535">
        <v>467542</v>
      </c>
    </row>
    <row r="13" spans="1:14" s="543" customFormat="1" ht="15" customHeight="1">
      <c r="A13" s="538"/>
      <c r="B13" s="539"/>
      <c r="C13" s="600" t="s">
        <v>550</v>
      </c>
      <c r="D13" s="601"/>
      <c r="E13" s="532">
        <f t="shared" si="0"/>
        <v>1244</v>
      </c>
      <c r="F13" s="534"/>
      <c r="G13" s="534"/>
      <c r="H13" s="534">
        <v>1166</v>
      </c>
      <c r="I13" s="534">
        <v>78</v>
      </c>
      <c r="J13" s="534"/>
      <c r="K13" s="534"/>
      <c r="L13" s="534"/>
      <c r="M13" s="534"/>
      <c r="N13" s="535"/>
    </row>
    <row r="14" spans="1:14" s="543" customFormat="1" ht="15" customHeight="1">
      <c r="A14" s="538"/>
      <c r="B14" s="539"/>
      <c r="C14" s="600" t="s">
        <v>535</v>
      </c>
      <c r="D14" s="601"/>
      <c r="E14" s="532">
        <f t="shared" si="0"/>
        <v>1112</v>
      </c>
      <c r="F14" s="534"/>
      <c r="G14" s="534"/>
      <c r="H14" s="534">
        <v>1034</v>
      </c>
      <c r="I14" s="534">
        <v>78</v>
      </c>
      <c r="J14" s="534"/>
      <c r="K14" s="534"/>
      <c r="L14" s="534"/>
      <c r="M14" s="534"/>
      <c r="N14" s="535"/>
    </row>
    <row r="15" spans="1:14" s="543" customFormat="1" ht="15" customHeight="1">
      <c r="A15" s="538">
        <v>370000</v>
      </c>
      <c r="B15" s="537" t="s">
        <v>85</v>
      </c>
      <c r="C15" s="602" t="s">
        <v>754</v>
      </c>
      <c r="D15" s="601">
        <v>14200</v>
      </c>
      <c r="E15" s="532">
        <f t="shared" si="0"/>
        <v>74924</v>
      </c>
      <c r="F15" s="534"/>
      <c r="G15" s="534"/>
      <c r="H15" s="534">
        <v>19764</v>
      </c>
      <c r="I15" s="534">
        <v>9360</v>
      </c>
      <c r="J15" s="534"/>
      <c r="K15" s="534">
        <v>13000</v>
      </c>
      <c r="L15" s="534"/>
      <c r="M15" s="534"/>
      <c r="N15" s="535">
        <v>32800</v>
      </c>
    </row>
    <row r="16" spans="1:14" s="543" customFormat="1" ht="15" customHeight="1">
      <c r="A16" s="538"/>
      <c r="B16" s="537"/>
      <c r="C16" s="600" t="s">
        <v>550</v>
      </c>
      <c r="D16" s="601">
        <v>12040</v>
      </c>
      <c r="E16" s="532">
        <f t="shared" si="0"/>
        <v>41552</v>
      </c>
      <c r="F16" s="534"/>
      <c r="G16" s="534"/>
      <c r="H16" s="534">
        <v>10452</v>
      </c>
      <c r="I16" s="534">
        <v>9420</v>
      </c>
      <c r="J16" s="534">
        <v>1500</v>
      </c>
      <c r="K16" s="534">
        <v>13131</v>
      </c>
      <c r="L16" s="534">
        <v>7049</v>
      </c>
      <c r="M16" s="534"/>
      <c r="N16" s="535"/>
    </row>
    <row r="17" spans="1:14" s="543" customFormat="1" ht="15" customHeight="1">
      <c r="A17" s="538"/>
      <c r="B17" s="537"/>
      <c r="C17" s="600" t="s">
        <v>535</v>
      </c>
      <c r="D17" s="601">
        <v>11567</v>
      </c>
      <c r="E17" s="532">
        <f t="shared" si="0"/>
        <v>41330</v>
      </c>
      <c r="F17" s="534"/>
      <c r="G17" s="534"/>
      <c r="H17" s="534">
        <v>10375</v>
      </c>
      <c r="I17" s="534">
        <v>9420</v>
      </c>
      <c r="J17" s="534">
        <v>1500</v>
      </c>
      <c r="K17" s="534">
        <v>12986</v>
      </c>
      <c r="L17" s="534">
        <v>7049</v>
      </c>
      <c r="M17" s="534"/>
      <c r="N17" s="535"/>
    </row>
    <row r="18" spans="1:14" s="543" customFormat="1" ht="15" customHeight="1">
      <c r="A18" s="538">
        <v>381103</v>
      </c>
      <c r="B18" s="537" t="s">
        <v>86</v>
      </c>
      <c r="C18" s="602" t="s">
        <v>754</v>
      </c>
      <c r="D18" s="601"/>
      <c r="E18" s="532">
        <f t="shared" si="0"/>
        <v>32554</v>
      </c>
      <c r="F18" s="534"/>
      <c r="G18" s="534"/>
      <c r="H18" s="534">
        <v>21400</v>
      </c>
      <c r="I18" s="534">
        <v>11154</v>
      </c>
      <c r="J18" s="534"/>
      <c r="K18" s="534"/>
      <c r="L18" s="534"/>
      <c r="M18" s="534"/>
      <c r="N18" s="535"/>
    </row>
    <row r="19" spans="1:14" s="543" customFormat="1" ht="15" customHeight="1">
      <c r="A19" s="538"/>
      <c r="B19" s="537"/>
      <c r="C19" s="600" t="s">
        <v>550</v>
      </c>
      <c r="D19" s="601"/>
      <c r="E19" s="532">
        <f t="shared" si="0"/>
        <v>34054</v>
      </c>
      <c r="F19" s="534"/>
      <c r="G19" s="534"/>
      <c r="H19" s="534">
        <v>22900</v>
      </c>
      <c r="I19" s="534">
        <v>11154</v>
      </c>
      <c r="J19" s="534"/>
      <c r="K19" s="534"/>
      <c r="L19" s="534"/>
      <c r="M19" s="534"/>
      <c r="N19" s="535"/>
    </row>
    <row r="20" spans="1:14" s="543" customFormat="1" ht="15" customHeight="1">
      <c r="A20" s="538"/>
      <c r="B20" s="537"/>
      <c r="C20" s="600" t="s">
        <v>535</v>
      </c>
      <c r="D20" s="601"/>
      <c r="E20" s="532">
        <f t="shared" si="0"/>
        <v>33894</v>
      </c>
      <c r="F20" s="534"/>
      <c r="G20" s="534"/>
      <c r="H20" s="534">
        <v>22740</v>
      </c>
      <c r="I20" s="534">
        <v>11154</v>
      </c>
      <c r="J20" s="534"/>
      <c r="K20" s="534"/>
      <c r="L20" s="534"/>
      <c r="M20" s="534"/>
      <c r="N20" s="535"/>
    </row>
    <row r="21" spans="1:14" s="543" customFormat="1" ht="15" customHeight="1">
      <c r="A21" s="538">
        <v>412000</v>
      </c>
      <c r="B21" s="537" t="s">
        <v>87</v>
      </c>
      <c r="C21" s="602" t="s">
        <v>754</v>
      </c>
      <c r="D21" s="601">
        <v>1436235</v>
      </c>
      <c r="E21" s="532">
        <f t="shared" si="0"/>
        <v>2532583</v>
      </c>
      <c r="F21" s="534"/>
      <c r="G21" s="534"/>
      <c r="H21" s="534"/>
      <c r="I21" s="534">
        <v>17552</v>
      </c>
      <c r="J21" s="534"/>
      <c r="K21" s="534">
        <v>19851</v>
      </c>
      <c r="L21" s="534">
        <v>1020986</v>
      </c>
      <c r="M21" s="534"/>
      <c r="N21" s="535">
        <v>1474194</v>
      </c>
    </row>
    <row r="22" spans="1:14" s="543" customFormat="1" ht="15" customHeight="1">
      <c r="A22" s="538"/>
      <c r="B22" s="537"/>
      <c r="C22" s="600" t="s">
        <v>550</v>
      </c>
      <c r="D22" s="601">
        <v>48833</v>
      </c>
      <c r="E22" s="532">
        <f t="shared" si="0"/>
        <v>521847</v>
      </c>
      <c r="F22" s="534">
        <v>2496</v>
      </c>
      <c r="G22" s="534">
        <v>606</v>
      </c>
      <c r="H22" s="534">
        <v>7124</v>
      </c>
      <c r="I22" s="534">
        <v>55040</v>
      </c>
      <c r="J22" s="534"/>
      <c r="K22" s="534">
        <v>59978</v>
      </c>
      <c r="L22" s="534">
        <v>396603</v>
      </c>
      <c r="M22" s="534"/>
      <c r="N22" s="535"/>
    </row>
    <row r="23" spans="1:14" s="543" customFormat="1" ht="15" customHeight="1">
      <c r="A23" s="538"/>
      <c r="B23" s="537"/>
      <c r="C23" s="600" t="s">
        <v>535</v>
      </c>
      <c r="D23" s="601">
        <v>25464</v>
      </c>
      <c r="E23" s="532">
        <f t="shared" si="0"/>
        <v>106348</v>
      </c>
      <c r="F23" s="534">
        <v>2496</v>
      </c>
      <c r="G23" s="534">
        <v>606</v>
      </c>
      <c r="H23" s="534">
        <v>6889</v>
      </c>
      <c r="I23" s="534">
        <v>10013</v>
      </c>
      <c r="J23" s="534"/>
      <c r="K23" s="534">
        <v>50719</v>
      </c>
      <c r="L23" s="534">
        <v>35625</v>
      </c>
      <c r="M23" s="534"/>
      <c r="N23" s="535"/>
    </row>
    <row r="24" spans="1:14" s="543" customFormat="1" ht="15" customHeight="1">
      <c r="A24" s="538">
        <v>421100</v>
      </c>
      <c r="B24" s="537" t="s">
        <v>88</v>
      </c>
      <c r="C24" s="602" t="s">
        <v>754</v>
      </c>
      <c r="D24" s="601">
        <v>718986</v>
      </c>
      <c r="E24" s="532">
        <f t="shared" si="0"/>
        <v>930184</v>
      </c>
      <c r="F24" s="534"/>
      <c r="G24" s="534"/>
      <c r="H24" s="534">
        <v>3168</v>
      </c>
      <c r="I24" s="534">
        <v>14676</v>
      </c>
      <c r="J24" s="534"/>
      <c r="K24" s="534"/>
      <c r="L24" s="534">
        <v>479486</v>
      </c>
      <c r="M24" s="534"/>
      <c r="N24" s="535">
        <v>432854</v>
      </c>
    </row>
    <row r="25" spans="1:14" s="543" customFormat="1" ht="15" customHeight="1">
      <c r="A25" s="538"/>
      <c r="B25" s="537"/>
      <c r="C25" s="600" t="s">
        <v>550</v>
      </c>
      <c r="D25" s="601">
        <v>6839</v>
      </c>
      <c r="E25" s="532">
        <f t="shared" si="0"/>
        <v>235256</v>
      </c>
      <c r="F25" s="534">
        <v>1798</v>
      </c>
      <c r="G25" s="534">
        <v>437</v>
      </c>
      <c r="H25" s="534">
        <v>2449</v>
      </c>
      <c r="I25" s="534">
        <v>14676</v>
      </c>
      <c r="J25" s="534"/>
      <c r="K25" s="534">
        <v>2689</v>
      </c>
      <c r="L25" s="534">
        <v>213207</v>
      </c>
      <c r="M25" s="534"/>
      <c r="N25" s="535"/>
    </row>
    <row r="26" spans="1:14" s="543" customFormat="1" ht="15" customHeight="1">
      <c r="A26" s="538"/>
      <c r="B26" s="537"/>
      <c r="C26" s="600" t="s">
        <v>535</v>
      </c>
      <c r="D26" s="601">
        <v>6723</v>
      </c>
      <c r="E26" s="532">
        <f t="shared" si="0"/>
        <v>70489</v>
      </c>
      <c r="F26" s="534">
        <v>1408</v>
      </c>
      <c r="G26" s="534">
        <v>342</v>
      </c>
      <c r="H26" s="534">
        <v>1761</v>
      </c>
      <c r="I26" s="534">
        <v>9154</v>
      </c>
      <c r="J26" s="534"/>
      <c r="K26" s="534">
        <v>2689</v>
      </c>
      <c r="L26" s="534">
        <v>55135</v>
      </c>
      <c r="M26" s="534"/>
      <c r="N26" s="535"/>
    </row>
    <row r="27" spans="1:14" s="543" customFormat="1" ht="15" customHeight="1">
      <c r="A27" s="538">
        <v>493102</v>
      </c>
      <c r="B27" s="537" t="s">
        <v>89</v>
      </c>
      <c r="C27" s="602" t="s">
        <v>754</v>
      </c>
      <c r="D27" s="601"/>
      <c r="E27" s="532">
        <f t="shared" si="0"/>
        <v>4570</v>
      </c>
      <c r="F27" s="534"/>
      <c r="G27" s="534"/>
      <c r="H27" s="534">
        <v>70</v>
      </c>
      <c r="I27" s="534">
        <v>4500</v>
      </c>
      <c r="J27" s="534"/>
      <c r="K27" s="534"/>
      <c r="L27" s="534"/>
      <c r="M27" s="534"/>
      <c r="N27" s="535"/>
    </row>
    <row r="28" spans="1:21" s="543" customFormat="1" ht="15" customHeight="1">
      <c r="A28" s="538"/>
      <c r="B28" s="537"/>
      <c r="C28" s="600" t="s">
        <v>550</v>
      </c>
      <c r="D28" s="601">
        <v>8834</v>
      </c>
      <c r="E28" s="532">
        <f t="shared" si="0"/>
        <v>13404</v>
      </c>
      <c r="F28" s="534"/>
      <c r="G28" s="534"/>
      <c r="H28" s="534">
        <v>70</v>
      </c>
      <c r="I28" s="534">
        <v>13334</v>
      </c>
      <c r="J28" s="534"/>
      <c r="K28" s="534"/>
      <c r="L28" s="534"/>
      <c r="M28" s="534"/>
      <c r="N28" s="535"/>
      <c r="O28" s="544"/>
      <c r="P28" s="544"/>
      <c r="Q28" s="544"/>
      <c r="R28" s="544"/>
      <c r="S28" s="544"/>
      <c r="T28" s="544"/>
      <c r="U28" s="544"/>
    </row>
    <row r="29" spans="1:21" s="543" customFormat="1" ht="15" customHeight="1">
      <c r="A29" s="538"/>
      <c r="B29" s="537"/>
      <c r="C29" s="600" t="s">
        <v>535</v>
      </c>
      <c r="D29" s="601">
        <v>8834</v>
      </c>
      <c r="E29" s="532">
        <f t="shared" si="0"/>
        <v>13401</v>
      </c>
      <c r="F29" s="534"/>
      <c r="G29" s="534"/>
      <c r="H29" s="534">
        <v>67</v>
      </c>
      <c r="I29" s="534">
        <v>13334</v>
      </c>
      <c r="J29" s="534"/>
      <c r="K29" s="534"/>
      <c r="L29" s="534"/>
      <c r="M29" s="534"/>
      <c r="N29" s="535"/>
      <c r="O29" s="544"/>
      <c r="P29" s="544"/>
      <c r="Q29" s="544"/>
      <c r="R29" s="544"/>
      <c r="S29" s="544"/>
      <c r="T29" s="544"/>
      <c r="U29" s="544"/>
    </row>
    <row r="30" spans="1:21" s="543" customFormat="1" ht="15" customHeight="1">
      <c r="A30" s="538">
        <v>522001</v>
      </c>
      <c r="B30" s="537" t="s">
        <v>90</v>
      </c>
      <c r="C30" s="602" t="s">
        <v>754</v>
      </c>
      <c r="D30" s="601"/>
      <c r="E30" s="532">
        <f t="shared" si="0"/>
        <v>40626</v>
      </c>
      <c r="F30" s="534"/>
      <c r="G30" s="534"/>
      <c r="H30" s="534">
        <v>31500</v>
      </c>
      <c r="I30" s="534">
        <v>9126</v>
      </c>
      <c r="J30" s="532"/>
      <c r="K30" s="532"/>
      <c r="L30" s="534"/>
      <c r="M30" s="534"/>
      <c r="N30" s="535"/>
      <c r="O30" s="544"/>
      <c r="P30" s="544"/>
      <c r="Q30" s="544"/>
      <c r="R30" s="544"/>
      <c r="S30" s="544"/>
      <c r="T30" s="544"/>
      <c r="U30" s="544"/>
    </row>
    <row r="31" spans="1:21" s="543" customFormat="1" ht="15" customHeight="1">
      <c r="A31" s="538"/>
      <c r="B31" s="537"/>
      <c r="C31" s="600" t="s">
        <v>550</v>
      </c>
      <c r="D31" s="601"/>
      <c r="E31" s="532">
        <f t="shared" si="0"/>
        <v>33538</v>
      </c>
      <c r="F31" s="534"/>
      <c r="G31" s="534"/>
      <c r="H31" s="534">
        <v>24412</v>
      </c>
      <c r="I31" s="534">
        <v>9126</v>
      </c>
      <c r="J31" s="532"/>
      <c r="K31" s="532"/>
      <c r="L31" s="534"/>
      <c r="M31" s="534"/>
      <c r="N31" s="535"/>
      <c r="O31" s="544"/>
      <c r="P31" s="544"/>
      <c r="Q31" s="544"/>
      <c r="R31" s="544"/>
      <c r="S31" s="544"/>
      <c r="T31" s="544"/>
      <c r="U31" s="544"/>
    </row>
    <row r="32" spans="1:21" s="543" customFormat="1" ht="15" customHeight="1">
      <c r="A32" s="538"/>
      <c r="B32" s="537"/>
      <c r="C32" s="600" t="s">
        <v>535</v>
      </c>
      <c r="D32" s="601"/>
      <c r="E32" s="532">
        <f t="shared" si="0"/>
        <v>32673</v>
      </c>
      <c r="F32" s="534"/>
      <c r="G32" s="534"/>
      <c r="H32" s="534">
        <v>23501</v>
      </c>
      <c r="I32" s="534">
        <v>9126</v>
      </c>
      <c r="J32" s="545">
        <v>46</v>
      </c>
      <c r="K32" s="532"/>
      <c r="L32" s="534"/>
      <c r="M32" s="534"/>
      <c r="N32" s="535"/>
      <c r="O32" s="544"/>
      <c r="P32" s="544"/>
      <c r="Q32" s="544"/>
      <c r="R32" s="544"/>
      <c r="S32" s="544"/>
      <c r="T32" s="544"/>
      <c r="U32" s="544"/>
    </row>
    <row r="33" spans="1:21" s="543" customFormat="1" ht="15" customHeight="1">
      <c r="A33" s="538">
        <v>581100</v>
      </c>
      <c r="B33" s="537" t="s">
        <v>91</v>
      </c>
      <c r="C33" s="602" t="s">
        <v>754</v>
      </c>
      <c r="D33" s="601"/>
      <c r="E33" s="532">
        <f t="shared" si="0"/>
        <v>1800</v>
      </c>
      <c r="F33" s="534"/>
      <c r="G33" s="534"/>
      <c r="H33" s="534">
        <v>1800</v>
      </c>
      <c r="I33" s="534"/>
      <c r="J33" s="532"/>
      <c r="K33" s="545"/>
      <c r="L33" s="534"/>
      <c r="M33" s="534"/>
      <c r="N33" s="535"/>
      <c r="O33" s="544"/>
      <c r="P33" s="544"/>
      <c r="Q33" s="544"/>
      <c r="R33" s="544"/>
      <c r="S33" s="544"/>
      <c r="T33" s="544"/>
      <c r="U33" s="544"/>
    </row>
    <row r="34" spans="1:21" s="543" customFormat="1" ht="15" customHeight="1">
      <c r="A34" s="538"/>
      <c r="B34" s="537"/>
      <c r="C34" s="600" t="s">
        <v>550</v>
      </c>
      <c r="D34" s="601"/>
      <c r="E34" s="532">
        <f t="shared" si="0"/>
        <v>1800</v>
      </c>
      <c r="F34" s="534"/>
      <c r="G34" s="534"/>
      <c r="H34" s="534">
        <v>1800</v>
      </c>
      <c r="I34" s="534"/>
      <c r="J34" s="532"/>
      <c r="K34" s="545"/>
      <c r="L34" s="534"/>
      <c r="M34" s="534"/>
      <c r="N34" s="535"/>
      <c r="O34" s="544"/>
      <c r="P34" s="544"/>
      <c r="Q34" s="544"/>
      <c r="R34" s="544"/>
      <c r="S34" s="544"/>
      <c r="T34" s="544"/>
      <c r="U34" s="544"/>
    </row>
    <row r="35" spans="1:21" s="543" customFormat="1" ht="15" customHeight="1">
      <c r="A35" s="538"/>
      <c r="B35" s="537"/>
      <c r="C35" s="600" t="s">
        <v>535</v>
      </c>
      <c r="D35" s="601"/>
      <c r="E35" s="532">
        <f t="shared" si="0"/>
        <v>587</v>
      </c>
      <c r="F35" s="534"/>
      <c r="G35" s="534"/>
      <c r="H35" s="534">
        <v>587</v>
      </c>
      <c r="I35" s="534"/>
      <c r="J35" s="532"/>
      <c r="K35" s="545"/>
      <c r="L35" s="534"/>
      <c r="M35" s="534"/>
      <c r="N35" s="535"/>
      <c r="O35" s="544"/>
      <c r="P35" s="544"/>
      <c r="Q35" s="544"/>
      <c r="R35" s="544"/>
      <c r="S35" s="544"/>
      <c r="T35" s="544"/>
      <c r="U35" s="544"/>
    </row>
    <row r="36" spans="1:21" s="543" customFormat="1" ht="15" customHeight="1">
      <c r="A36" s="603">
        <v>581900</v>
      </c>
      <c r="B36" s="604" t="s">
        <v>92</v>
      </c>
      <c r="C36" s="602" t="s">
        <v>754</v>
      </c>
      <c r="D36" s="601"/>
      <c r="E36" s="532">
        <f t="shared" si="0"/>
        <v>30452</v>
      </c>
      <c r="F36" s="540">
        <v>5760</v>
      </c>
      <c r="G36" s="540">
        <v>1454</v>
      </c>
      <c r="H36" s="540">
        <v>23238</v>
      </c>
      <c r="I36" s="540"/>
      <c r="J36" s="540"/>
      <c r="K36" s="540"/>
      <c r="L36" s="540"/>
      <c r="M36" s="540"/>
      <c r="N36" s="542"/>
      <c r="O36" s="544"/>
      <c r="P36" s="544"/>
      <c r="Q36" s="544"/>
      <c r="R36" s="544"/>
      <c r="S36" s="544"/>
      <c r="T36" s="544"/>
      <c r="U36" s="544"/>
    </row>
    <row r="37" spans="1:21" s="543" customFormat="1" ht="15" customHeight="1">
      <c r="A37" s="603"/>
      <c r="B37" s="604"/>
      <c r="C37" s="600" t="s">
        <v>550</v>
      </c>
      <c r="D37" s="601"/>
      <c r="E37" s="532">
        <f t="shared" si="0"/>
        <v>25875</v>
      </c>
      <c r="F37" s="540">
        <v>5760</v>
      </c>
      <c r="G37" s="540">
        <v>1454</v>
      </c>
      <c r="H37" s="540">
        <v>18611</v>
      </c>
      <c r="I37" s="540">
        <v>50</v>
      </c>
      <c r="J37" s="540"/>
      <c r="K37" s="540"/>
      <c r="L37" s="540"/>
      <c r="M37" s="540"/>
      <c r="N37" s="542"/>
      <c r="O37" s="544"/>
      <c r="P37" s="544"/>
      <c r="Q37" s="544"/>
      <c r="R37" s="544"/>
      <c r="S37" s="544"/>
      <c r="T37" s="544"/>
      <c r="U37" s="544"/>
    </row>
    <row r="38" spans="1:21" s="543" customFormat="1" ht="15" customHeight="1">
      <c r="A38" s="603"/>
      <c r="B38" s="604"/>
      <c r="C38" s="600" t="s">
        <v>535</v>
      </c>
      <c r="D38" s="601">
        <v>114</v>
      </c>
      <c r="E38" s="532">
        <f t="shared" si="0"/>
        <v>24990</v>
      </c>
      <c r="F38" s="540">
        <v>5890</v>
      </c>
      <c r="G38" s="540">
        <v>1467</v>
      </c>
      <c r="H38" s="540">
        <v>17583</v>
      </c>
      <c r="I38" s="540">
        <v>50</v>
      </c>
      <c r="J38" s="540"/>
      <c r="K38" s="540"/>
      <c r="L38" s="540"/>
      <c r="M38" s="540"/>
      <c r="N38" s="542"/>
      <c r="O38" s="544"/>
      <c r="P38" s="544"/>
      <c r="Q38" s="544"/>
      <c r="R38" s="544"/>
      <c r="S38" s="544"/>
      <c r="T38" s="544"/>
      <c r="U38" s="544"/>
    </row>
    <row r="39" spans="1:21" s="543" customFormat="1" ht="15" customHeight="1">
      <c r="A39" s="538">
        <v>680001</v>
      </c>
      <c r="B39" s="537" t="s">
        <v>93</v>
      </c>
      <c r="C39" s="602" t="s">
        <v>754</v>
      </c>
      <c r="D39" s="601">
        <v>39240</v>
      </c>
      <c r="E39" s="532">
        <f t="shared" si="0"/>
        <v>39930</v>
      </c>
      <c r="F39" s="534"/>
      <c r="G39" s="534"/>
      <c r="H39" s="534">
        <v>39930</v>
      </c>
      <c r="I39" s="534"/>
      <c r="J39" s="534"/>
      <c r="K39" s="534"/>
      <c r="L39" s="534"/>
      <c r="M39" s="534"/>
      <c r="N39" s="535"/>
      <c r="O39" s="544"/>
      <c r="P39" s="544"/>
      <c r="Q39" s="544"/>
      <c r="R39" s="544"/>
      <c r="S39" s="544"/>
      <c r="T39" s="544"/>
      <c r="U39" s="544"/>
    </row>
    <row r="40" spans="1:21" s="543" customFormat="1" ht="15" customHeight="1">
      <c r="A40" s="538"/>
      <c r="B40" s="537"/>
      <c r="C40" s="600" t="s">
        <v>550</v>
      </c>
      <c r="D40" s="601">
        <v>54999</v>
      </c>
      <c r="E40" s="532">
        <f t="shared" si="0"/>
        <v>42933</v>
      </c>
      <c r="F40" s="534"/>
      <c r="G40" s="534"/>
      <c r="H40" s="534">
        <v>42933</v>
      </c>
      <c r="I40" s="534"/>
      <c r="J40" s="534"/>
      <c r="K40" s="534"/>
      <c r="L40" s="534"/>
      <c r="M40" s="534"/>
      <c r="N40" s="535"/>
      <c r="O40" s="544"/>
      <c r="P40" s="544"/>
      <c r="Q40" s="544"/>
      <c r="R40" s="544"/>
      <c r="S40" s="544"/>
      <c r="T40" s="544"/>
      <c r="U40" s="544"/>
    </row>
    <row r="41" spans="1:21" s="543" customFormat="1" ht="15" customHeight="1">
      <c r="A41" s="538"/>
      <c r="B41" s="537"/>
      <c r="C41" s="600" t="s">
        <v>535</v>
      </c>
      <c r="D41" s="601">
        <v>56278</v>
      </c>
      <c r="E41" s="532">
        <f aca="true" t="shared" si="1" ref="E41:E57">SUM(F41:N41)</f>
        <v>42578</v>
      </c>
      <c r="F41" s="534"/>
      <c r="G41" s="534"/>
      <c r="H41" s="534">
        <v>42578</v>
      </c>
      <c r="I41" s="534"/>
      <c r="J41" s="534"/>
      <c r="K41" s="534"/>
      <c r="L41" s="534"/>
      <c r="M41" s="534"/>
      <c r="N41" s="535"/>
      <c r="O41" s="544"/>
      <c r="P41" s="544"/>
      <c r="Q41" s="544"/>
      <c r="R41" s="544"/>
      <c r="S41" s="544"/>
      <c r="T41" s="544"/>
      <c r="U41" s="544"/>
    </row>
    <row r="42" spans="1:21" s="543" customFormat="1" ht="15" customHeight="1">
      <c r="A42" s="538">
        <v>680002</v>
      </c>
      <c r="B42" s="537" t="s">
        <v>46</v>
      </c>
      <c r="C42" s="602" t="s">
        <v>754</v>
      </c>
      <c r="D42" s="601">
        <v>54169</v>
      </c>
      <c r="E42" s="532">
        <f t="shared" si="1"/>
        <v>19596</v>
      </c>
      <c r="F42" s="534"/>
      <c r="G42" s="534"/>
      <c r="H42" s="534">
        <v>18816</v>
      </c>
      <c r="I42" s="534">
        <v>780</v>
      </c>
      <c r="J42" s="534"/>
      <c r="K42" s="534"/>
      <c r="L42" s="534"/>
      <c r="M42" s="534"/>
      <c r="N42" s="535"/>
      <c r="O42" s="544"/>
      <c r="P42" s="544"/>
      <c r="Q42" s="544"/>
      <c r="R42" s="544"/>
      <c r="S42" s="544"/>
      <c r="T42" s="544"/>
      <c r="U42" s="544"/>
    </row>
    <row r="43" spans="1:21" s="543" customFormat="1" ht="15" customHeight="1">
      <c r="A43" s="538"/>
      <c r="B43" s="537"/>
      <c r="C43" s="600" t="s">
        <v>550</v>
      </c>
      <c r="D43" s="601">
        <v>58700</v>
      </c>
      <c r="E43" s="532">
        <f t="shared" si="1"/>
        <v>24226</v>
      </c>
      <c r="F43" s="534"/>
      <c r="G43" s="534"/>
      <c r="H43" s="534">
        <v>23446</v>
      </c>
      <c r="I43" s="534">
        <v>780</v>
      </c>
      <c r="J43" s="534"/>
      <c r="K43" s="534"/>
      <c r="L43" s="534"/>
      <c r="M43" s="534"/>
      <c r="N43" s="535"/>
      <c r="O43" s="544"/>
      <c r="P43" s="544"/>
      <c r="Q43" s="544"/>
      <c r="R43" s="544"/>
      <c r="S43" s="544"/>
      <c r="T43" s="544"/>
      <c r="U43" s="544"/>
    </row>
    <row r="44" spans="1:21" s="543" customFormat="1" ht="15" customHeight="1">
      <c r="A44" s="538"/>
      <c r="B44" s="537"/>
      <c r="C44" s="600" t="s">
        <v>535</v>
      </c>
      <c r="D44" s="601">
        <v>59850</v>
      </c>
      <c r="E44" s="532">
        <f t="shared" si="1"/>
        <v>22896</v>
      </c>
      <c r="F44" s="534"/>
      <c r="G44" s="534"/>
      <c r="H44" s="534">
        <v>22116</v>
      </c>
      <c r="I44" s="534">
        <v>780</v>
      </c>
      <c r="J44" s="534"/>
      <c r="K44" s="534"/>
      <c r="L44" s="534"/>
      <c r="M44" s="534"/>
      <c r="N44" s="535"/>
      <c r="O44" s="544"/>
      <c r="P44" s="544"/>
      <c r="Q44" s="544"/>
      <c r="R44" s="544"/>
      <c r="S44" s="544"/>
      <c r="T44" s="544"/>
      <c r="U44" s="544"/>
    </row>
    <row r="45" spans="1:21" s="543" customFormat="1" ht="15" customHeight="1">
      <c r="A45" s="538">
        <v>750000</v>
      </c>
      <c r="B45" s="537" t="s">
        <v>94</v>
      </c>
      <c r="C45" s="602" t="s">
        <v>754</v>
      </c>
      <c r="D45" s="601"/>
      <c r="E45" s="532">
        <f t="shared" si="1"/>
        <v>4482</v>
      </c>
      <c r="F45" s="534"/>
      <c r="G45" s="534"/>
      <c r="H45" s="534">
        <v>3000</v>
      </c>
      <c r="I45" s="534">
        <v>1482</v>
      </c>
      <c r="J45" s="534"/>
      <c r="K45" s="534"/>
      <c r="L45" s="534"/>
      <c r="M45" s="534"/>
      <c r="N45" s="535"/>
      <c r="O45" s="544"/>
      <c r="P45" s="544"/>
      <c r="Q45" s="544"/>
      <c r="R45" s="544"/>
      <c r="S45" s="544"/>
      <c r="T45" s="544"/>
      <c r="U45" s="544"/>
    </row>
    <row r="46" spans="1:21" s="543" customFormat="1" ht="15" customHeight="1">
      <c r="A46" s="538"/>
      <c r="B46" s="537"/>
      <c r="C46" s="600" t="s">
        <v>550</v>
      </c>
      <c r="D46" s="601"/>
      <c r="E46" s="532">
        <f t="shared" si="1"/>
        <v>7482</v>
      </c>
      <c r="F46" s="534"/>
      <c r="G46" s="534"/>
      <c r="H46" s="534">
        <v>6000</v>
      </c>
      <c r="I46" s="534">
        <v>1482</v>
      </c>
      <c r="J46" s="534"/>
      <c r="K46" s="534"/>
      <c r="L46" s="534"/>
      <c r="M46" s="534"/>
      <c r="N46" s="535"/>
      <c r="O46" s="544"/>
      <c r="P46" s="544"/>
      <c r="Q46" s="544"/>
      <c r="R46" s="544"/>
      <c r="S46" s="544"/>
      <c r="T46" s="544"/>
      <c r="U46" s="544"/>
    </row>
    <row r="47" spans="1:21" s="543" customFormat="1" ht="15" customHeight="1">
      <c r="A47" s="538"/>
      <c r="B47" s="537"/>
      <c r="C47" s="600" t="s">
        <v>535</v>
      </c>
      <c r="D47" s="601"/>
      <c r="E47" s="532">
        <f t="shared" si="1"/>
        <v>2767</v>
      </c>
      <c r="F47" s="534"/>
      <c r="G47" s="534"/>
      <c r="H47" s="534">
        <v>1285</v>
      </c>
      <c r="I47" s="534">
        <v>1482</v>
      </c>
      <c r="J47" s="534"/>
      <c r="K47" s="534"/>
      <c r="L47" s="534"/>
      <c r="M47" s="534"/>
      <c r="N47" s="535"/>
      <c r="O47" s="544"/>
      <c r="P47" s="544"/>
      <c r="Q47" s="544"/>
      <c r="R47" s="544"/>
      <c r="S47" s="544"/>
      <c r="T47" s="544"/>
      <c r="U47" s="544"/>
    </row>
    <row r="48" spans="1:21" s="543" customFormat="1" ht="15" customHeight="1">
      <c r="A48" s="538">
        <v>813000</v>
      </c>
      <c r="B48" s="537" t="s">
        <v>95</v>
      </c>
      <c r="C48" s="602" t="s">
        <v>754</v>
      </c>
      <c r="D48" s="601"/>
      <c r="E48" s="532">
        <f t="shared" si="1"/>
        <v>74154</v>
      </c>
      <c r="F48" s="534"/>
      <c r="G48" s="534"/>
      <c r="H48" s="534">
        <v>52850</v>
      </c>
      <c r="I48" s="534">
        <v>21304</v>
      </c>
      <c r="J48" s="534"/>
      <c r="K48" s="534"/>
      <c r="L48" s="534"/>
      <c r="M48" s="534"/>
      <c r="N48" s="535"/>
      <c r="O48" s="544"/>
      <c r="P48" s="544"/>
      <c r="Q48" s="544"/>
      <c r="R48" s="544"/>
      <c r="S48" s="544"/>
      <c r="T48" s="544"/>
      <c r="U48" s="544"/>
    </row>
    <row r="49" spans="1:21" s="543" customFormat="1" ht="15" customHeight="1">
      <c r="A49" s="538"/>
      <c r="B49" s="537"/>
      <c r="C49" s="600" t="s">
        <v>550</v>
      </c>
      <c r="D49" s="601"/>
      <c r="E49" s="532">
        <f t="shared" si="1"/>
        <v>78465</v>
      </c>
      <c r="F49" s="534"/>
      <c r="G49" s="534"/>
      <c r="H49" s="534">
        <v>57161</v>
      </c>
      <c r="I49" s="534">
        <v>21304</v>
      </c>
      <c r="J49" s="534"/>
      <c r="K49" s="534"/>
      <c r="L49" s="534"/>
      <c r="M49" s="534"/>
      <c r="N49" s="535"/>
      <c r="O49" s="544"/>
      <c r="P49" s="544"/>
      <c r="Q49" s="544"/>
      <c r="R49" s="544"/>
      <c r="S49" s="544"/>
      <c r="T49" s="544"/>
      <c r="U49" s="544"/>
    </row>
    <row r="50" spans="1:21" s="543" customFormat="1" ht="15" customHeight="1">
      <c r="A50" s="538"/>
      <c r="B50" s="537"/>
      <c r="C50" s="600" t="s">
        <v>535</v>
      </c>
      <c r="D50" s="601"/>
      <c r="E50" s="532">
        <f t="shared" si="1"/>
        <v>78048</v>
      </c>
      <c r="F50" s="534"/>
      <c r="G50" s="534"/>
      <c r="H50" s="534">
        <v>57115</v>
      </c>
      <c r="I50" s="534">
        <v>20904</v>
      </c>
      <c r="J50" s="534">
        <v>29</v>
      </c>
      <c r="K50" s="534"/>
      <c r="L50" s="534"/>
      <c r="M50" s="534"/>
      <c r="N50" s="535"/>
      <c r="O50" s="544"/>
      <c r="P50" s="544"/>
      <c r="Q50" s="544"/>
      <c r="R50" s="544"/>
      <c r="S50" s="544"/>
      <c r="T50" s="544"/>
      <c r="U50" s="544"/>
    </row>
    <row r="51" spans="1:21" s="543" customFormat="1" ht="15" customHeight="1">
      <c r="A51" s="538">
        <v>813000</v>
      </c>
      <c r="B51" s="537" t="s">
        <v>96</v>
      </c>
      <c r="C51" s="602" t="s">
        <v>754</v>
      </c>
      <c r="D51" s="601"/>
      <c r="E51" s="532">
        <f t="shared" si="1"/>
        <v>3500</v>
      </c>
      <c r="F51" s="540"/>
      <c r="G51" s="540"/>
      <c r="H51" s="540">
        <v>2500</v>
      </c>
      <c r="I51" s="540"/>
      <c r="J51" s="540"/>
      <c r="K51" s="540"/>
      <c r="L51" s="540"/>
      <c r="M51" s="540"/>
      <c r="N51" s="542">
        <v>1000</v>
      </c>
      <c r="O51" s="544"/>
      <c r="P51" s="544"/>
      <c r="Q51" s="544"/>
      <c r="R51" s="544"/>
      <c r="S51" s="544"/>
      <c r="T51" s="544"/>
      <c r="U51" s="544"/>
    </row>
    <row r="52" spans="1:21" s="543" customFormat="1" ht="15" customHeight="1">
      <c r="A52" s="538"/>
      <c r="B52" s="537"/>
      <c r="C52" s="600" t="s">
        <v>550</v>
      </c>
      <c r="D52" s="601"/>
      <c r="E52" s="532">
        <f t="shared" si="1"/>
        <v>3350</v>
      </c>
      <c r="F52" s="540"/>
      <c r="G52" s="540"/>
      <c r="H52" s="540">
        <v>1346</v>
      </c>
      <c r="I52" s="540"/>
      <c r="J52" s="540"/>
      <c r="K52" s="540"/>
      <c r="L52" s="540">
        <v>2004</v>
      </c>
      <c r="M52" s="540"/>
      <c r="N52" s="542"/>
      <c r="O52" s="544"/>
      <c r="P52" s="544"/>
      <c r="Q52" s="544"/>
      <c r="R52" s="544"/>
      <c r="S52" s="544"/>
      <c r="T52" s="544"/>
      <c r="U52" s="544"/>
    </row>
    <row r="53" spans="1:21" s="543" customFormat="1" ht="15" customHeight="1">
      <c r="A53" s="538"/>
      <c r="B53" s="537"/>
      <c r="C53" s="600" t="s">
        <v>535</v>
      </c>
      <c r="D53" s="601"/>
      <c r="E53" s="532">
        <f t="shared" si="1"/>
        <v>3395</v>
      </c>
      <c r="F53" s="540"/>
      <c r="G53" s="540"/>
      <c r="H53" s="540">
        <v>1392</v>
      </c>
      <c r="I53" s="540"/>
      <c r="J53" s="540"/>
      <c r="K53" s="540"/>
      <c r="L53" s="540">
        <v>2003</v>
      </c>
      <c r="M53" s="540"/>
      <c r="N53" s="542"/>
      <c r="O53" s="544"/>
      <c r="P53" s="544"/>
      <c r="Q53" s="544"/>
      <c r="R53" s="544"/>
      <c r="S53" s="544"/>
      <c r="T53" s="544"/>
      <c r="U53" s="544"/>
    </row>
    <row r="54" spans="1:21" s="543" customFormat="1" ht="15" customHeight="1">
      <c r="A54" s="538">
        <v>841112</v>
      </c>
      <c r="B54" s="537" t="s">
        <v>97</v>
      </c>
      <c r="C54" s="602" t="s">
        <v>754</v>
      </c>
      <c r="D54" s="601">
        <v>5000</v>
      </c>
      <c r="E54" s="532">
        <f t="shared" si="1"/>
        <v>24799</v>
      </c>
      <c r="F54" s="534"/>
      <c r="G54" s="534"/>
      <c r="H54" s="534">
        <v>24799</v>
      </c>
      <c r="I54" s="534"/>
      <c r="J54" s="534"/>
      <c r="K54" s="534"/>
      <c r="L54" s="534"/>
      <c r="M54" s="534"/>
      <c r="N54" s="535"/>
      <c r="O54" s="544"/>
      <c r="P54" s="544"/>
      <c r="Q54" s="544"/>
      <c r="R54" s="544"/>
      <c r="S54" s="544"/>
      <c r="T54" s="544"/>
      <c r="U54" s="544"/>
    </row>
    <row r="55" spans="1:21" s="543" customFormat="1" ht="15" customHeight="1">
      <c r="A55" s="538"/>
      <c r="B55" s="537"/>
      <c r="C55" s="600" t="s">
        <v>550</v>
      </c>
      <c r="D55" s="601">
        <v>9111</v>
      </c>
      <c r="E55" s="532">
        <f t="shared" si="1"/>
        <v>35101</v>
      </c>
      <c r="F55" s="534">
        <v>2380</v>
      </c>
      <c r="G55" s="534">
        <v>364</v>
      </c>
      <c r="H55" s="534">
        <v>27692</v>
      </c>
      <c r="I55" s="534">
        <v>3964</v>
      </c>
      <c r="J55" s="534"/>
      <c r="K55" s="534"/>
      <c r="L55" s="534">
        <v>701</v>
      </c>
      <c r="M55" s="534"/>
      <c r="N55" s="535"/>
      <c r="O55" s="544"/>
      <c r="P55" s="544"/>
      <c r="Q55" s="544"/>
      <c r="R55" s="544"/>
      <c r="S55" s="544"/>
      <c r="T55" s="544"/>
      <c r="U55" s="544"/>
    </row>
    <row r="56" spans="1:21" s="543" customFormat="1" ht="15" customHeight="1">
      <c r="A56" s="538"/>
      <c r="B56" s="537"/>
      <c r="C56" s="600" t="s">
        <v>535</v>
      </c>
      <c r="D56" s="601">
        <v>32697</v>
      </c>
      <c r="E56" s="532">
        <f t="shared" si="1"/>
        <v>30797</v>
      </c>
      <c r="F56" s="534">
        <v>1968</v>
      </c>
      <c r="G56" s="534">
        <v>785</v>
      </c>
      <c r="H56" s="534">
        <v>23279</v>
      </c>
      <c r="I56" s="534">
        <v>4065</v>
      </c>
      <c r="J56" s="534"/>
      <c r="K56" s="534"/>
      <c r="L56" s="534">
        <v>700</v>
      </c>
      <c r="M56" s="534"/>
      <c r="N56" s="535"/>
      <c r="O56" s="544"/>
      <c r="P56" s="544"/>
      <c r="Q56" s="544"/>
      <c r="R56" s="544"/>
      <c r="S56" s="544"/>
      <c r="T56" s="544"/>
      <c r="U56" s="544"/>
    </row>
    <row r="57" spans="1:21" s="543" customFormat="1" ht="15" customHeight="1">
      <c r="A57" s="538">
        <v>841112</v>
      </c>
      <c r="B57" s="537" t="s">
        <v>98</v>
      </c>
      <c r="C57" s="602" t="s">
        <v>754</v>
      </c>
      <c r="D57" s="601">
        <v>390428</v>
      </c>
      <c r="E57" s="532">
        <f t="shared" si="1"/>
        <v>0</v>
      </c>
      <c r="F57" s="534"/>
      <c r="G57" s="534"/>
      <c r="H57" s="534"/>
      <c r="I57" s="534"/>
      <c r="J57" s="534"/>
      <c r="K57" s="534"/>
      <c r="L57" s="534"/>
      <c r="M57" s="534"/>
      <c r="N57" s="535"/>
      <c r="O57" s="544"/>
      <c r="P57" s="544"/>
      <c r="Q57" s="544"/>
      <c r="R57" s="544"/>
      <c r="S57" s="544"/>
      <c r="T57" s="544"/>
      <c r="U57" s="544"/>
    </row>
    <row r="58" spans="1:21" s="543" customFormat="1" ht="15" customHeight="1">
      <c r="A58" s="538"/>
      <c r="B58" s="537"/>
      <c r="C58" s="600" t="s">
        <v>550</v>
      </c>
      <c r="D58" s="601">
        <v>451303</v>
      </c>
      <c r="E58" s="532"/>
      <c r="F58" s="534"/>
      <c r="G58" s="534"/>
      <c r="H58" s="534"/>
      <c r="I58" s="534"/>
      <c r="J58" s="534"/>
      <c r="K58" s="534"/>
      <c r="L58" s="534"/>
      <c r="M58" s="534"/>
      <c r="N58" s="535"/>
      <c r="O58" s="544"/>
      <c r="P58" s="544"/>
      <c r="Q58" s="544"/>
      <c r="R58" s="544"/>
      <c r="S58" s="544"/>
      <c r="T58" s="544"/>
      <c r="U58" s="544"/>
    </row>
    <row r="59" spans="1:21" s="543" customFormat="1" ht="15" customHeight="1">
      <c r="A59" s="538"/>
      <c r="B59" s="537"/>
      <c r="C59" s="600" t="s">
        <v>535</v>
      </c>
      <c r="D59" s="601">
        <v>451307</v>
      </c>
      <c r="E59" s="532"/>
      <c r="F59" s="534"/>
      <c r="G59" s="534"/>
      <c r="H59" s="534"/>
      <c r="I59" s="534"/>
      <c r="J59" s="534"/>
      <c r="K59" s="534"/>
      <c r="L59" s="534"/>
      <c r="M59" s="534"/>
      <c r="N59" s="535"/>
      <c r="O59" s="544"/>
      <c r="P59" s="544"/>
      <c r="Q59" s="544"/>
      <c r="R59" s="544"/>
      <c r="S59" s="544"/>
      <c r="T59" s="544"/>
      <c r="U59" s="544"/>
    </row>
    <row r="60" spans="1:21" s="543" customFormat="1" ht="15" customHeight="1">
      <c r="A60" s="538">
        <v>841133</v>
      </c>
      <c r="B60" s="537" t="s">
        <v>51</v>
      </c>
      <c r="C60" s="602" t="s">
        <v>754</v>
      </c>
      <c r="D60" s="601">
        <v>1595800</v>
      </c>
      <c r="E60" s="532">
        <f aca="true" t="shared" si="2" ref="E60:E97">SUM(F60:N60)</f>
        <v>0</v>
      </c>
      <c r="F60" s="540"/>
      <c r="G60" s="540"/>
      <c r="H60" s="540"/>
      <c r="I60" s="540"/>
      <c r="J60" s="540"/>
      <c r="K60" s="540"/>
      <c r="L60" s="540"/>
      <c r="M60" s="540"/>
      <c r="N60" s="542"/>
      <c r="O60" s="544"/>
      <c r="P60" s="544"/>
      <c r="Q60" s="544"/>
      <c r="R60" s="544"/>
      <c r="S60" s="544"/>
      <c r="T60" s="544"/>
      <c r="U60" s="544"/>
    </row>
    <row r="61" spans="1:21" s="543" customFormat="1" ht="15" customHeight="1">
      <c r="A61" s="538"/>
      <c r="B61" s="537"/>
      <c r="C61" s="600" t="s">
        <v>550</v>
      </c>
      <c r="D61" s="601">
        <v>1685800</v>
      </c>
      <c r="E61" s="532">
        <f t="shared" si="2"/>
        <v>400</v>
      </c>
      <c r="F61" s="540"/>
      <c r="G61" s="540"/>
      <c r="H61" s="540">
        <v>400</v>
      </c>
      <c r="I61" s="540"/>
      <c r="J61" s="540"/>
      <c r="K61" s="540"/>
      <c r="L61" s="540"/>
      <c r="M61" s="540"/>
      <c r="N61" s="542"/>
      <c r="O61" s="544"/>
      <c r="P61" s="544"/>
      <c r="Q61" s="544"/>
      <c r="R61" s="544"/>
      <c r="S61" s="544"/>
      <c r="T61" s="544"/>
      <c r="U61" s="544"/>
    </row>
    <row r="62" spans="1:21" s="543" customFormat="1" ht="15" customHeight="1">
      <c r="A62" s="538"/>
      <c r="B62" s="537"/>
      <c r="C62" s="600" t="s">
        <v>535</v>
      </c>
      <c r="D62" s="601">
        <v>1796013</v>
      </c>
      <c r="E62" s="532">
        <f t="shared" si="2"/>
        <v>356</v>
      </c>
      <c r="F62" s="540"/>
      <c r="G62" s="540"/>
      <c r="H62" s="540">
        <v>356</v>
      </c>
      <c r="I62" s="540"/>
      <c r="J62" s="540"/>
      <c r="K62" s="540"/>
      <c r="L62" s="540"/>
      <c r="M62" s="540"/>
      <c r="N62" s="542"/>
      <c r="O62" s="544"/>
      <c r="P62" s="544"/>
      <c r="Q62" s="544"/>
      <c r="R62" s="544"/>
      <c r="S62" s="544"/>
      <c r="T62" s="544"/>
      <c r="U62" s="544"/>
    </row>
    <row r="63" spans="1:21" s="543" customFormat="1" ht="15" customHeight="1">
      <c r="A63" s="538">
        <v>841154</v>
      </c>
      <c r="B63" s="537" t="s">
        <v>99</v>
      </c>
      <c r="C63" s="602" t="s">
        <v>754</v>
      </c>
      <c r="D63" s="601">
        <v>366855</v>
      </c>
      <c r="E63" s="532">
        <f t="shared" si="2"/>
        <v>122101</v>
      </c>
      <c r="F63" s="534"/>
      <c r="G63" s="534"/>
      <c r="H63" s="534">
        <v>39601</v>
      </c>
      <c r="I63" s="534"/>
      <c r="J63" s="534"/>
      <c r="K63" s="534"/>
      <c r="L63" s="534"/>
      <c r="M63" s="534"/>
      <c r="N63" s="535">
        <v>82500</v>
      </c>
      <c r="O63" s="544"/>
      <c r="P63" s="544"/>
      <c r="Q63" s="544"/>
      <c r="R63" s="544"/>
      <c r="S63" s="544"/>
      <c r="T63" s="544"/>
      <c r="U63" s="544"/>
    </row>
    <row r="64" spans="1:21" s="543" customFormat="1" ht="15" customHeight="1">
      <c r="A64" s="538"/>
      <c r="B64" s="537"/>
      <c r="C64" s="600" t="s">
        <v>550</v>
      </c>
      <c r="D64" s="601">
        <v>124687</v>
      </c>
      <c r="E64" s="532">
        <f t="shared" si="2"/>
        <v>29346</v>
      </c>
      <c r="F64" s="534">
        <v>200</v>
      </c>
      <c r="G64" s="534">
        <v>50</v>
      </c>
      <c r="H64" s="534">
        <v>21380</v>
      </c>
      <c r="I64" s="534"/>
      <c r="J64" s="534"/>
      <c r="K64" s="534"/>
      <c r="L64" s="534">
        <v>7716</v>
      </c>
      <c r="M64" s="534"/>
      <c r="N64" s="535"/>
      <c r="O64" s="544"/>
      <c r="P64" s="544"/>
      <c r="Q64" s="544"/>
      <c r="R64" s="544"/>
      <c r="S64" s="544"/>
      <c r="T64" s="544"/>
      <c r="U64" s="544"/>
    </row>
    <row r="65" spans="1:21" s="543" customFormat="1" ht="15" customHeight="1">
      <c r="A65" s="538"/>
      <c r="B65" s="537"/>
      <c r="C65" s="600" t="s">
        <v>535</v>
      </c>
      <c r="D65" s="601">
        <v>124783</v>
      </c>
      <c r="E65" s="532">
        <f t="shared" si="2"/>
        <v>28624</v>
      </c>
      <c r="F65" s="534">
        <v>200</v>
      </c>
      <c r="G65" s="534">
        <v>49</v>
      </c>
      <c r="H65" s="534">
        <v>21160</v>
      </c>
      <c r="I65" s="534"/>
      <c r="J65" s="534"/>
      <c r="K65" s="534"/>
      <c r="L65" s="534">
        <v>7215</v>
      </c>
      <c r="M65" s="534"/>
      <c r="N65" s="535"/>
      <c r="O65" s="544"/>
      <c r="P65" s="544"/>
      <c r="Q65" s="544"/>
      <c r="R65" s="544"/>
      <c r="S65" s="544"/>
      <c r="T65" s="544"/>
      <c r="U65" s="544"/>
    </row>
    <row r="66" spans="1:21" s="543" customFormat="1" ht="15" customHeight="1">
      <c r="A66" s="538">
        <v>841191</v>
      </c>
      <c r="B66" s="537" t="s">
        <v>100</v>
      </c>
      <c r="C66" s="602" t="s">
        <v>754</v>
      </c>
      <c r="D66" s="601"/>
      <c r="E66" s="532">
        <f t="shared" si="2"/>
        <v>3089</v>
      </c>
      <c r="F66" s="540"/>
      <c r="G66" s="540">
        <v>756</v>
      </c>
      <c r="H66" s="540">
        <v>2333</v>
      </c>
      <c r="I66" s="540"/>
      <c r="J66" s="540"/>
      <c r="K66" s="540"/>
      <c r="L66" s="540"/>
      <c r="M66" s="540"/>
      <c r="N66" s="542"/>
      <c r="O66" s="544"/>
      <c r="P66" s="544"/>
      <c r="Q66" s="544"/>
      <c r="R66" s="544"/>
      <c r="S66" s="544"/>
      <c r="T66" s="544"/>
      <c r="U66" s="544"/>
    </row>
    <row r="67" spans="1:21" s="543" customFormat="1" ht="15" customHeight="1">
      <c r="A67" s="538"/>
      <c r="B67" s="537"/>
      <c r="C67" s="600" t="s">
        <v>550</v>
      </c>
      <c r="D67" s="601"/>
      <c r="E67" s="532">
        <f t="shared" si="2"/>
        <v>3089</v>
      </c>
      <c r="F67" s="540"/>
      <c r="G67" s="540">
        <v>756</v>
      </c>
      <c r="H67" s="540">
        <v>2333</v>
      </c>
      <c r="I67" s="540"/>
      <c r="J67" s="540"/>
      <c r="K67" s="540"/>
      <c r="L67" s="540"/>
      <c r="M67" s="540"/>
      <c r="N67" s="542"/>
      <c r="O67" s="544"/>
      <c r="P67" s="544"/>
      <c r="Q67" s="544"/>
      <c r="R67" s="544"/>
      <c r="S67" s="544"/>
      <c r="T67" s="544"/>
      <c r="U67" s="544"/>
    </row>
    <row r="68" spans="1:21" s="543" customFormat="1" ht="15" customHeight="1">
      <c r="A68" s="538"/>
      <c r="B68" s="537"/>
      <c r="C68" s="600" t="s">
        <v>535</v>
      </c>
      <c r="D68" s="601"/>
      <c r="E68" s="532">
        <f t="shared" si="2"/>
        <v>2335</v>
      </c>
      <c r="F68" s="540"/>
      <c r="G68" s="540">
        <v>39</v>
      </c>
      <c r="H68" s="540">
        <v>2296</v>
      </c>
      <c r="I68" s="540"/>
      <c r="J68" s="540"/>
      <c r="K68" s="540"/>
      <c r="L68" s="540"/>
      <c r="M68" s="540"/>
      <c r="N68" s="542"/>
      <c r="O68" s="544"/>
      <c r="P68" s="544"/>
      <c r="Q68" s="544"/>
      <c r="R68" s="544"/>
      <c r="S68" s="544"/>
      <c r="T68" s="544"/>
      <c r="U68" s="544"/>
    </row>
    <row r="69" spans="1:21" s="543" customFormat="1" ht="15" customHeight="1">
      <c r="A69" s="538">
        <v>841192</v>
      </c>
      <c r="B69" s="537" t="s">
        <v>101</v>
      </c>
      <c r="C69" s="602" t="s">
        <v>754</v>
      </c>
      <c r="D69" s="601">
        <v>1500</v>
      </c>
      <c r="E69" s="532">
        <f t="shared" si="2"/>
        <v>2000</v>
      </c>
      <c r="F69" s="540"/>
      <c r="G69" s="540"/>
      <c r="H69" s="540">
        <v>2000</v>
      </c>
      <c r="I69" s="540"/>
      <c r="J69" s="540"/>
      <c r="K69" s="540"/>
      <c r="L69" s="540"/>
      <c r="M69" s="540"/>
      <c r="N69" s="542"/>
      <c r="O69" s="544"/>
      <c r="P69" s="544"/>
      <c r="Q69" s="544"/>
      <c r="R69" s="544"/>
      <c r="S69" s="544"/>
      <c r="T69" s="544"/>
      <c r="U69" s="544"/>
    </row>
    <row r="70" spans="1:14" s="544" customFormat="1" ht="15" customHeight="1">
      <c r="A70" s="538"/>
      <c r="B70" s="537"/>
      <c r="C70" s="600" t="s">
        <v>550</v>
      </c>
      <c r="D70" s="601">
        <v>2500</v>
      </c>
      <c r="E70" s="532">
        <f t="shared" si="2"/>
        <v>4000</v>
      </c>
      <c r="F70" s="540"/>
      <c r="G70" s="540"/>
      <c r="H70" s="540">
        <v>4000</v>
      </c>
      <c r="I70" s="540"/>
      <c r="J70" s="540"/>
      <c r="K70" s="540"/>
      <c r="L70" s="540"/>
      <c r="M70" s="540"/>
      <c r="N70" s="542"/>
    </row>
    <row r="71" spans="1:14" s="544" customFormat="1" ht="15" customHeight="1">
      <c r="A71" s="538"/>
      <c r="B71" s="537"/>
      <c r="C71" s="600" t="s">
        <v>535</v>
      </c>
      <c r="D71" s="601">
        <v>2236</v>
      </c>
      <c r="E71" s="532">
        <f t="shared" si="2"/>
        <v>4018</v>
      </c>
      <c r="F71" s="540"/>
      <c r="G71" s="540"/>
      <c r="H71" s="540">
        <v>4018</v>
      </c>
      <c r="I71" s="540"/>
      <c r="J71" s="540"/>
      <c r="K71" s="540"/>
      <c r="L71" s="540"/>
      <c r="M71" s="540"/>
      <c r="N71" s="542"/>
    </row>
    <row r="72" spans="1:21" s="543" customFormat="1" ht="15" customHeight="1">
      <c r="A72" s="538">
        <v>841192</v>
      </c>
      <c r="B72" s="537" t="s">
        <v>102</v>
      </c>
      <c r="C72" s="602" t="s">
        <v>754</v>
      </c>
      <c r="D72" s="601"/>
      <c r="E72" s="532">
        <f t="shared" si="2"/>
        <v>4205</v>
      </c>
      <c r="F72" s="540">
        <v>3000</v>
      </c>
      <c r="G72" s="540">
        <v>810</v>
      </c>
      <c r="H72" s="540">
        <v>395</v>
      </c>
      <c r="I72" s="540"/>
      <c r="J72" s="540"/>
      <c r="K72" s="540"/>
      <c r="L72" s="540"/>
      <c r="M72" s="540"/>
      <c r="N72" s="542"/>
      <c r="O72" s="544"/>
      <c r="P72" s="544"/>
      <c r="Q72" s="544"/>
      <c r="R72" s="544"/>
      <c r="S72" s="544"/>
      <c r="T72" s="544"/>
      <c r="U72" s="544"/>
    </row>
    <row r="73" spans="1:21" s="543" customFormat="1" ht="15" customHeight="1">
      <c r="A73" s="538"/>
      <c r="B73" s="537"/>
      <c r="C73" s="600" t="s">
        <v>550</v>
      </c>
      <c r="D73" s="601">
        <v>361</v>
      </c>
      <c r="E73" s="532">
        <f t="shared" si="2"/>
        <v>4205</v>
      </c>
      <c r="F73" s="540">
        <v>2884</v>
      </c>
      <c r="G73" s="540">
        <v>810</v>
      </c>
      <c r="H73" s="540">
        <v>395</v>
      </c>
      <c r="I73" s="540">
        <v>116</v>
      </c>
      <c r="J73" s="540"/>
      <c r="K73" s="540"/>
      <c r="L73" s="540"/>
      <c r="M73" s="540"/>
      <c r="N73" s="542"/>
      <c r="O73" s="544"/>
      <c r="P73" s="544"/>
      <c r="Q73" s="544"/>
      <c r="R73" s="544"/>
      <c r="S73" s="544"/>
      <c r="T73" s="544"/>
      <c r="U73" s="544"/>
    </row>
    <row r="74" spans="1:21" s="543" customFormat="1" ht="15" customHeight="1">
      <c r="A74" s="538"/>
      <c r="B74" s="537"/>
      <c r="C74" s="600" t="s">
        <v>535</v>
      </c>
      <c r="D74" s="601"/>
      <c r="E74" s="532">
        <f t="shared" si="2"/>
        <v>4386</v>
      </c>
      <c r="F74" s="540">
        <v>1593</v>
      </c>
      <c r="G74" s="540">
        <v>430</v>
      </c>
      <c r="H74" s="540">
        <v>2247</v>
      </c>
      <c r="I74" s="540">
        <v>116</v>
      </c>
      <c r="J74" s="540"/>
      <c r="K74" s="540"/>
      <c r="L74" s="540"/>
      <c r="M74" s="540"/>
      <c r="N74" s="542"/>
      <c r="O74" s="544"/>
      <c r="P74" s="544"/>
      <c r="Q74" s="544"/>
      <c r="R74" s="544"/>
      <c r="S74" s="544"/>
      <c r="T74" s="544"/>
      <c r="U74" s="544"/>
    </row>
    <row r="75" spans="1:21" s="543" customFormat="1" ht="15" customHeight="1">
      <c r="A75" s="538">
        <v>841192</v>
      </c>
      <c r="B75" s="537" t="s">
        <v>103</v>
      </c>
      <c r="C75" s="602" t="s">
        <v>754</v>
      </c>
      <c r="D75" s="601"/>
      <c r="E75" s="532">
        <f t="shared" si="2"/>
        <v>6572</v>
      </c>
      <c r="F75" s="540"/>
      <c r="G75" s="540">
        <v>1215</v>
      </c>
      <c r="H75" s="540">
        <v>5357</v>
      </c>
      <c r="I75" s="540"/>
      <c r="J75" s="540"/>
      <c r="K75" s="540"/>
      <c r="L75" s="540"/>
      <c r="M75" s="540"/>
      <c r="N75" s="542"/>
      <c r="O75" s="544"/>
      <c r="P75" s="544"/>
      <c r="Q75" s="544"/>
      <c r="R75" s="544"/>
      <c r="S75" s="544"/>
      <c r="T75" s="544"/>
      <c r="U75" s="544"/>
    </row>
    <row r="76" spans="1:21" s="543" customFormat="1" ht="15" customHeight="1">
      <c r="A76" s="538"/>
      <c r="B76" s="537"/>
      <c r="C76" s="600" t="s">
        <v>550</v>
      </c>
      <c r="D76" s="601"/>
      <c r="E76" s="532">
        <f t="shared" si="2"/>
        <v>6572</v>
      </c>
      <c r="F76" s="540"/>
      <c r="G76" s="540">
        <v>1215</v>
      </c>
      <c r="H76" s="540">
        <v>5357</v>
      </c>
      <c r="I76" s="540"/>
      <c r="J76" s="540"/>
      <c r="K76" s="540"/>
      <c r="L76" s="540"/>
      <c r="M76" s="540"/>
      <c r="N76" s="542"/>
      <c r="O76" s="544"/>
      <c r="P76" s="544"/>
      <c r="Q76" s="544"/>
      <c r="R76" s="544"/>
      <c r="S76" s="544"/>
      <c r="T76" s="544"/>
      <c r="U76" s="544"/>
    </row>
    <row r="77" spans="1:21" s="543" customFormat="1" ht="15" customHeight="1">
      <c r="A77" s="538"/>
      <c r="B77" s="537"/>
      <c r="C77" s="600" t="s">
        <v>535</v>
      </c>
      <c r="D77" s="601"/>
      <c r="E77" s="532">
        <f t="shared" si="2"/>
        <v>2318</v>
      </c>
      <c r="F77" s="540">
        <v>20</v>
      </c>
      <c r="G77" s="540">
        <v>753</v>
      </c>
      <c r="H77" s="540">
        <v>1545</v>
      </c>
      <c r="I77" s="540"/>
      <c r="J77" s="540"/>
      <c r="K77" s="540"/>
      <c r="L77" s="540"/>
      <c r="M77" s="540"/>
      <c r="N77" s="542"/>
      <c r="O77" s="544"/>
      <c r="P77" s="544"/>
      <c r="Q77" s="544"/>
      <c r="R77" s="544"/>
      <c r="S77" s="544"/>
      <c r="T77" s="544"/>
      <c r="U77" s="544"/>
    </row>
    <row r="78" spans="1:21" s="543" customFormat="1" ht="15" customHeight="1">
      <c r="A78" s="538">
        <v>841235</v>
      </c>
      <c r="B78" s="537" t="s">
        <v>104</v>
      </c>
      <c r="C78" s="602" t="s">
        <v>754</v>
      </c>
      <c r="D78" s="601">
        <v>52420</v>
      </c>
      <c r="E78" s="532">
        <f t="shared" si="2"/>
        <v>123342</v>
      </c>
      <c r="F78" s="540"/>
      <c r="G78" s="540"/>
      <c r="H78" s="540">
        <v>19770</v>
      </c>
      <c r="I78" s="540">
        <v>76601</v>
      </c>
      <c r="J78" s="540"/>
      <c r="K78" s="540"/>
      <c r="L78" s="540"/>
      <c r="M78" s="540"/>
      <c r="N78" s="542">
        <v>26971</v>
      </c>
      <c r="O78" s="544"/>
      <c r="P78" s="544"/>
      <c r="Q78" s="544"/>
      <c r="R78" s="544"/>
      <c r="S78" s="544"/>
      <c r="T78" s="544"/>
      <c r="U78" s="544"/>
    </row>
    <row r="79" spans="1:21" s="543" customFormat="1" ht="15" customHeight="1">
      <c r="A79" s="538"/>
      <c r="B79" s="537"/>
      <c r="C79" s="600" t="s">
        <v>550</v>
      </c>
      <c r="D79" s="601">
        <v>209852</v>
      </c>
      <c r="E79" s="532">
        <f t="shared" si="2"/>
        <v>142163</v>
      </c>
      <c r="F79" s="540"/>
      <c r="G79" s="540"/>
      <c r="H79" s="540">
        <v>20020</v>
      </c>
      <c r="I79" s="540">
        <v>81311</v>
      </c>
      <c r="J79" s="540"/>
      <c r="K79" s="540">
        <v>1016</v>
      </c>
      <c r="L79" s="540"/>
      <c r="M79" s="540">
        <v>39816</v>
      </c>
      <c r="N79" s="542"/>
      <c r="O79" s="544"/>
      <c r="P79" s="544"/>
      <c r="Q79" s="544"/>
      <c r="R79" s="544"/>
      <c r="S79" s="544"/>
      <c r="T79" s="544"/>
      <c r="U79" s="544"/>
    </row>
    <row r="80" spans="1:21" s="543" customFormat="1" ht="15" customHeight="1">
      <c r="A80" s="538"/>
      <c r="B80" s="537"/>
      <c r="C80" s="600" t="s">
        <v>535</v>
      </c>
      <c r="D80" s="601">
        <v>173336</v>
      </c>
      <c r="E80" s="532">
        <f t="shared" si="2"/>
        <v>73509</v>
      </c>
      <c r="F80" s="540"/>
      <c r="G80" s="540">
        <v>9</v>
      </c>
      <c r="H80" s="540">
        <v>19953</v>
      </c>
      <c r="I80" s="540">
        <v>12715</v>
      </c>
      <c r="J80" s="540"/>
      <c r="K80" s="540">
        <v>1016</v>
      </c>
      <c r="L80" s="540"/>
      <c r="M80" s="540">
        <v>39816</v>
      </c>
      <c r="N80" s="542"/>
      <c r="O80" s="544"/>
      <c r="P80" s="544"/>
      <c r="Q80" s="544"/>
      <c r="R80" s="544"/>
      <c r="S80" s="544"/>
      <c r="T80" s="544"/>
      <c r="U80" s="544"/>
    </row>
    <row r="81" spans="1:21" s="543" customFormat="1" ht="15" customHeight="1">
      <c r="A81" s="538">
        <v>841361</v>
      </c>
      <c r="B81" s="537" t="s">
        <v>1135</v>
      </c>
      <c r="C81" s="602" t="s">
        <v>754</v>
      </c>
      <c r="D81" s="601"/>
      <c r="E81" s="532">
        <f t="shared" si="2"/>
        <v>2000</v>
      </c>
      <c r="F81" s="534"/>
      <c r="G81" s="534"/>
      <c r="H81" s="534"/>
      <c r="I81" s="534">
        <v>2000</v>
      </c>
      <c r="J81" s="534"/>
      <c r="K81" s="534"/>
      <c r="L81" s="534"/>
      <c r="M81" s="534"/>
      <c r="N81" s="535"/>
      <c r="O81" s="544"/>
      <c r="P81" s="544"/>
      <c r="Q81" s="544"/>
      <c r="R81" s="544"/>
      <c r="S81" s="544"/>
      <c r="T81" s="544"/>
      <c r="U81" s="544"/>
    </row>
    <row r="82" spans="1:21" s="543" customFormat="1" ht="15" customHeight="1">
      <c r="A82" s="538"/>
      <c r="B82" s="537"/>
      <c r="C82" s="600" t="s">
        <v>550</v>
      </c>
      <c r="D82" s="601"/>
      <c r="E82" s="532">
        <f t="shared" si="2"/>
        <v>2000</v>
      </c>
      <c r="F82" s="534"/>
      <c r="G82" s="534"/>
      <c r="H82" s="534"/>
      <c r="I82" s="534">
        <v>2000</v>
      </c>
      <c r="J82" s="534"/>
      <c r="K82" s="534"/>
      <c r="L82" s="534"/>
      <c r="M82" s="534"/>
      <c r="N82" s="535"/>
      <c r="O82" s="544"/>
      <c r="P82" s="544"/>
      <c r="Q82" s="544"/>
      <c r="R82" s="544"/>
      <c r="S82" s="544"/>
      <c r="T82" s="544"/>
      <c r="U82" s="544"/>
    </row>
    <row r="83" spans="1:21" s="543" customFormat="1" ht="15" customHeight="1">
      <c r="A83" s="538"/>
      <c r="B83" s="537"/>
      <c r="C83" s="600" t="s">
        <v>535</v>
      </c>
      <c r="D83" s="601"/>
      <c r="E83" s="532">
        <f t="shared" si="2"/>
        <v>1875</v>
      </c>
      <c r="F83" s="534"/>
      <c r="G83" s="534"/>
      <c r="H83" s="534"/>
      <c r="I83" s="534">
        <v>1875</v>
      </c>
      <c r="J83" s="534"/>
      <c r="K83" s="534"/>
      <c r="L83" s="534"/>
      <c r="M83" s="534"/>
      <c r="N83" s="535"/>
      <c r="O83" s="544"/>
      <c r="P83" s="544"/>
      <c r="Q83" s="544"/>
      <c r="R83" s="544"/>
      <c r="S83" s="544"/>
      <c r="T83" s="544"/>
      <c r="U83" s="544"/>
    </row>
    <row r="84" spans="1:21" s="543" customFormat="1" ht="15" customHeight="1">
      <c r="A84" s="538">
        <v>841402</v>
      </c>
      <c r="B84" s="537" t="s">
        <v>105</v>
      </c>
      <c r="C84" s="602" t="s">
        <v>754</v>
      </c>
      <c r="D84" s="601"/>
      <c r="E84" s="532">
        <f t="shared" si="2"/>
        <v>57621</v>
      </c>
      <c r="F84" s="540"/>
      <c r="G84" s="540"/>
      <c r="H84" s="540">
        <v>43971</v>
      </c>
      <c r="I84" s="540"/>
      <c r="J84" s="540"/>
      <c r="K84" s="540"/>
      <c r="L84" s="540"/>
      <c r="M84" s="541"/>
      <c r="N84" s="542">
        <v>13650</v>
      </c>
      <c r="O84" s="544"/>
      <c r="P84" s="544"/>
      <c r="Q84" s="544"/>
      <c r="R84" s="544"/>
      <c r="S84" s="544"/>
      <c r="T84" s="544"/>
      <c r="U84" s="544"/>
    </row>
    <row r="85" spans="1:21" s="543" customFormat="1" ht="15" customHeight="1">
      <c r="A85" s="538"/>
      <c r="B85" s="537"/>
      <c r="C85" s="600" t="s">
        <v>550</v>
      </c>
      <c r="D85" s="601"/>
      <c r="E85" s="532">
        <f t="shared" si="2"/>
        <v>61385</v>
      </c>
      <c r="F85" s="540"/>
      <c r="G85" s="540"/>
      <c r="H85" s="540">
        <v>48753</v>
      </c>
      <c r="I85" s="540"/>
      <c r="J85" s="540"/>
      <c r="K85" s="540"/>
      <c r="L85" s="540">
        <v>12632</v>
      </c>
      <c r="M85" s="541"/>
      <c r="N85" s="542"/>
      <c r="O85" s="544"/>
      <c r="P85" s="544"/>
      <c r="Q85" s="544"/>
      <c r="R85" s="544"/>
      <c r="S85" s="544"/>
      <c r="T85" s="544"/>
      <c r="U85" s="544"/>
    </row>
    <row r="86" spans="1:21" s="543" customFormat="1" ht="15" customHeight="1">
      <c r="A86" s="538"/>
      <c r="B86" s="537"/>
      <c r="C86" s="600" t="s">
        <v>535</v>
      </c>
      <c r="D86" s="601"/>
      <c r="E86" s="532">
        <f t="shared" si="2"/>
        <v>47801</v>
      </c>
      <c r="F86" s="540"/>
      <c r="G86" s="540"/>
      <c r="H86" s="540">
        <v>43443</v>
      </c>
      <c r="I86" s="540"/>
      <c r="J86" s="540"/>
      <c r="K86" s="540"/>
      <c r="L86" s="540">
        <v>4358</v>
      </c>
      <c r="M86" s="541"/>
      <c r="N86" s="542"/>
      <c r="O86" s="544"/>
      <c r="P86" s="544"/>
      <c r="Q86" s="544"/>
      <c r="R86" s="544"/>
      <c r="S86" s="544"/>
      <c r="T86" s="544"/>
      <c r="U86" s="544"/>
    </row>
    <row r="87" spans="1:21" s="543" customFormat="1" ht="15" customHeight="1">
      <c r="A87" s="538">
        <v>841401</v>
      </c>
      <c r="B87" s="537" t="s">
        <v>106</v>
      </c>
      <c r="C87" s="602" t="s">
        <v>754</v>
      </c>
      <c r="D87" s="601"/>
      <c r="E87" s="532">
        <f t="shared" si="2"/>
        <v>4313</v>
      </c>
      <c r="F87" s="540"/>
      <c r="G87" s="540"/>
      <c r="H87" s="540">
        <v>4313</v>
      </c>
      <c r="I87" s="540"/>
      <c r="J87" s="540"/>
      <c r="K87" s="540"/>
      <c r="L87" s="540"/>
      <c r="M87" s="540"/>
      <c r="N87" s="542"/>
      <c r="O87" s="544"/>
      <c r="P87" s="544"/>
      <c r="Q87" s="544"/>
      <c r="R87" s="544"/>
      <c r="S87" s="544"/>
      <c r="T87" s="544"/>
      <c r="U87" s="544"/>
    </row>
    <row r="88" spans="1:21" s="543" customFormat="1" ht="15" customHeight="1">
      <c r="A88" s="538"/>
      <c r="B88" s="537"/>
      <c r="C88" s="600" t="s">
        <v>550</v>
      </c>
      <c r="D88" s="601"/>
      <c r="E88" s="532">
        <f t="shared" si="2"/>
        <v>4313</v>
      </c>
      <c r="F88" s="540"/>
      <c r="G88" s="540"/>
      <c r="H88" s="540">
        <v>4313</v>
      </c>
      <c r="I88" s="540"/>
      <c r="J88" s="540"/>
      <c r="K88" s="540"/>
      <c r="L88" s="540"/>
      <c r="M88" s="540"/>
      <c r="N88" s="542"/>
      <c r="O88" s="544"/>
      <c r="P88" s="544"/>
      <c r="Q88" s="544"/>
      <c r="R88" s="544"/>
      <c r="S88" s="544"/>
      <c r="T88" s="544"/>
      <c r="U88" s="544"/>
    </row>
    <row r="89" spans="1:21" s="543" customFormat="1" ht="15" customHeight="1">
      <c r="A89" s="538"/>
      <c r="B89" s="537"/>
      <c r="C89" s="600" t="s">
        <v>535</v>
      </c>
      <c r="D89" s="601">
        <v>127</v>
      </c>
      <c r="E89" s="532">
        <f t="shared" si="2"/>
        <v>1763</v>
      </c>
      <c r="F89" s="540"/>
      <c r="G89" s="540"/>
      <c r="H89" s="540">
        <v>1763</v>
      </c>
      <c r="I89" s="540"/>
      <c r="J89" s="540"/>
      <c r="K89" s="540"/>
      <c r="L89" s="540"/>
      <c r="M89" s="540"/>
      <c r="N89" s="542"/>
      <c r="O89" s="544"/>
      <c r="P89" s="544"/>
      <c r="Q89" s="544"/>
      <c r="R89" s="544"/>
      <c r="S89" s="544"/>
      <c r="T89" s="544"/>
      <c r="U89" s="544"/>
    </row>
    <row r="90" spans="1:21" s="543" customFormat="1" ht="15" customHeight="1">
      <c r="A90" s="538">
        <v>841403</v>
      </c>
      <c r="B90" s="537" t="s">
        <v>107</v>
      </c>
      <c r="C90" s="602" t="s">
        <v>754</v>
      </c>
      <c r="D90" s="601">
        <v>73038</v>
      </c>
      <c r="E90" s="532">
        <f t="shared" si="2"/>
        <v>109447</v>
      </c>
      <c r="F90" s="540"/>
      <c r="G90" s="540"/>
      <c r="H90" s="540">
        <v>26360</v>
      </c>
      <c r="I90" s="540">
        <v>4212</v>
      </c>
      <c r="J90" s="540"/>
      <c r="K90" s="540"/>
      <c r="L90" s="540"/>
      <c r="M90" s="541">
        <v>2500</v>
      </c>
      <c r="N90" s="542">
        <v>76375</v>
      </c>
      <c r="O90" s="544"/>
      <c r="P90" s="544"/>
      <c r="Q90" s="544"/>
      <c r="R90" s="544"/>
      <c r="S90" s="544"/>
      <c r="T90" s="544"/>
      <c r="U90" s="544"/>
    </row>
    <row r="91" spans="1:21" s="543" customFormat="1" ht="15" customHeight="1">
      <c r="A91" s="538"/>
      <c r="B91" s="537"/>
      <c r="C91" s="600" t="s">
        <v>550</v>
      </c>
      <c r="D91" s="601">
        <v>8658</v>
      </c>
      <c r="E91" s="532">
        <f t="shared" si="2"/>
        <v>67708</v>
      </c>
      <c r="F91" s="540"/>
      <c r="G91" s="540"/>
      <c r="H91" s="540">
        <v>29297</v>
      </c>
      <c r="I91" s="540">
        <v>4212</v>
      </c>
      <c r="J91" s="540"/>
      <c r="K91" s="540"/>
      <c r="L91" s="540">
        <v>31699</v>
      </c>
      <c r="M91" s="541">
        <v>2500</v>
      </c>
      <c r="N91" s="542"/>
      <c r="O91" s="544"/>
      <c r="P91" s="544"/>
      <c r="Q91" s="544"/>
      <c r="R91" s="544"/>
      <c r="S91" s="544"/>
      <c r="T91" s="544"/>
      <c r="U91" s="544"/>
    </row>
    <row r="92" spans="1:21" s="543" customFormat="1" ht="15" customHeight="1">
      <c r="A92" s="538"/>
      <c r="B92" s="537"/>
      <c r="C92" s="600" t="s">
        <v>535</v>
      </c>
      <c r="D92" s="601">
        <v>8608</v>
      </c>
      <c r="E92" s="532">
        <f t="shared" si="2"/>
        <v>44928</v>
      </c>
      <c r="F92" s="540">
        <v>180</v>
      </c>
      <c r="G92" s="540">
        <v>4</v>
      </c>
      <c r="H92" s="540">
        <v>31945</v>
      </c>
      <c r="I92" s="540">
        <v>4212</v>
      </c>
      <c r="J92" s="540"/>
      <c r="K92" s="540"/>
      <c r="L92" s="540">
        <v>6087</v>
      </c>
      <c r="M92" s="541">
        <v>2500</v>
      </c>
      <c r="N92" s="542"/>
      <c r="O92" s="544"/>
      <c r="P92" s="544"/>
      <c r="Q92" s="544"/>
      <c r="R92" s="544"/>
      <c r="S92" s="544"/>
      <c r="T92" s="544"/>
      <c r="U92" s="544"/>
    </row>
    <row r="93" spans="1:21" s="543" customFormat="1" ht="15" customHeight="1">
      <c r="A93" s="538">
        <v>841403</v>
      </c>
      <c r="B93" s="537" t="s">
        <v>108</v>
      </c>
      <c r="C93" s="602" t="s">
        <v>754</v>
      </c>
      <c r="D93" s="601"/>
      <c r="E93" s="532">
        <f t="shared" si="2"/>
        <v>19657</v>
      </c>
      <c r="F93" s="534">
        <v>1600</v>
      </c>
      <c r="G93" s="534">
        <v>432</v>
      </c>
      <c r="H93" s="534">
        <v>12675</v>
      </c>
      <c r="I93" s="534">
        <v>4000</v>
      </c>
      <c r="J93" s="534"/>
      <c r="K93" s="534"/>
      <c r="L93" s="534"/>
      <c r="M93" s="534"/>
      <c r="N93" s="535">
        <v>950</v>
      </c>
      <c r="O93" s="544"/>
      <c r="P93" s="544"/>
      <c r="Q93" s="544"/>
      <c r="R93" s="544"/>
      <c r="S93" s="544"/>
      <c r="T93" s="544"/>
      <c r="U93" s="544"/>
    </row>
    <row r="94" spans="1:21" s="543" customFormat="1" ht="15" customHeight="1">
      <c r="A94" s="538"/>
      <c r="B94" s="537"/>
      <c r="C94" s="600" t="s">
        <v>550</v>
      </c>
      <c r="D94" s="601"/>
      <c r="E94" s="532">
        <f t="shared" si="2"/>
        <v>18707</v>
      </c>
      <c r="F94" s="534">
        <v>1600</v>
      </c>
      <c r="G94" s="534">
        <v>432</v>
      </c>
      <c r="H94" s="534">
        <v>11725</v>
      </c>
      <c r="I94" s="534">
        <v>4000</v>
      </c>
      <c r="J94" s="534"/>
      <c r="K94" s="534"/>
      <c r="L94" s="534">
        <v>950</v>
      </c>
      <c r="M94" s="534"/>
      <c r="N94" s="535"/>
      <c r="O94" s="544"/>
      <c r="P94" s="544"/>
      <c r="Q94" s="544"/>
      <c r="R94" s="544"/>
      <c r="S94" s="544"/>
      <c r="T94" s="544"/>
      <c r="U94" s="544"/>
    </row>
    <row r="95" spans="1:21" s="543" customFormat="1" ht="15" customHeight="1">
      <c r="A95" s="538"/>
      <c r="B95" s="537"/>
      <c r="C95" s="600" t="s">
        <v>535</v>
      </c>
      <c r="D95" s="601"/>
      <c r="E95" s="532">
        <f t="shared" si="2"/>
        <v>5673</v>
      </c>
      <c r="F95" s="534">
        <v>1155</v>
      </c>
      <c r="G95" s="534">
        <v>281</v>
      </c>
      <c r="H95" s="534">
        <v>3301</v>
      </c>
      <c r="I95" s="534"/>
      <c r="J95" s="534"/>
      <c r="K95" s="534"/>
      <c r="L95" s="534">
        <v>936</v>
      </c>
      <c r="M95" s="534"/>
      <c r="N95" s="535"/>
      <c r="O95" s="544"/>
      <c r="P95" s="544"/>
      <c r="Q95" s="544"/>
      <c r="R95" s="544"/>
      <c r="S95" s="544"/>
      <c r="T95" s="544"/>
      <c r="U95" s="544"/>
    </row>
    <row r="96" spans="1:21" s="543" customFormat="1" ht="15" customHeight="1">
      <c r="A96" s="538">
        <v>841901</v>
      </c>
      <c r="B96" s="537" t="s">
        <v>109</v>
      </c>
      <c r="C96" s="602" t="s">
        <v>754</v>
      </c>
      <c r="D96" s="601">
        <v>1237767</v>
      </c>
      <c r="E96" s="532">
        <f t="shared" si="2"/>
        <v>0</v>
      </c>
      <c r="F96" s="534"/>
      <c r="G96" s="534"/>
      <c r="H96" s="534"/>
      <c r="I96" s="534"/>
      <c r="J96" s="534"/>
      <c r="K96" s="534"/>
      <c r="L96" s="534"/>
      <c r="M96" s="534"/>
      <c r="N96" s="535"/>
      <c r="O96" s="544"/>
      <c r="P96" s="544"/>
      <c r="Q96" s="544"/>
      <c r="R96" s="544"/>
      <c r="S96" s="544"/>
      <c r="T96" s="544"/>
      <c r="U96" s="544"/>
    </row>
    <row r="97" spans="1:21" s="543" customFormat="1" ht="15" customHeight="1">
      <c r="A97" s="538"/>
      <c r="B97" s="537"/>
      <c r="C97" s="600" t="s">
        <v>550</v>
      </c>
      <c r="D97" s="601">
        <v>1307391</v>
      </c>
      <c r="E97" s="532">
        <f t="shared" si="2"/>
        <v>0</v>
      </c>
      <c r="F97" s="534"/>
      <c r="G97" s="534"/>
      <c r="H97" s="534"/>
      <c r="I97" s="534"/>
      <c r="J97" s="534"/>
      <c r="K97" s="534"/>
      <c r="L97" s="534"/>
      <c r="M97" s="534"/>
      <c r="N97" s="535"/>
      <c r="O97" s="544"/>
      <c r="P97" s="544"/>
      <c r="Q97" s="544"/>
      <c r="R97" s="544"/>
      <c r="S97" s="544"/>
      <c r="T97" s="544"/>
      <c r="U97" s="544"/>
    </row>
    <row r="98" spans="1:21" s="543" customFormat="1" ht="15" customHeight="1">
      <c r="A98" s="538"/>
      <c r="B98" s="537"/>
      <c r="C98" s="600" t="s">
        <v>535</v>
      </c>
      <c r="D98" s="601">
        <v>1307392</v>
      </c>
      <c r="E98" s="532"/>
      <c r="F98" s="534"/>
      <c r="G98" s="534"/>
      <c r="H98" s="534"/>
      <c r="I98" s="534"/>
      <c r="J98" s="534"/>
      <c r="K98" s="534"/>
      <c r="L98" s="534"/>
      <c r="M98" s="534"/>
      <c r="N98" s="535"/>
      <c r="O98" s="544"/>
      <c r="P98" s="544"/>
      <c r="Q98" s="544"/>
      <c r="R98" s="544"/>
      <c r="S98" s="544"/>
      <c r="T98" s="544"/>
      <c r="U98" s="544"/>
    </row>
    <row r="99" spans="1:21" s="543" customFormat="1" ht="15" customHeight="1">
      <c r="A99" s="538">
        <v>841902</v>
      </c>
      <c r="B99" s="537" t="s">
        <v>79</v>
      </c>
      <c r="C99" s="602" t="s">
        <v>754</v>
      </c>
      <c r="D99" s="601"/>
      <c r="E99" s="532">
        <f aca="true" t="shared" si="3" ref="E99:E106">SUM(F99:N99)</f>
        <v>4000</v>
      </c>
      <c r="F99" s="540"/>
      <c r="G99" s="540"/>
      <c r="H99" s="540">
        <v>4000</v>
      </c>
      <c r="I99" s="540"/>
      <c r="J99" s="540"/>
      <c r="K99" s="540"/>
      <c r="L99" s="540"/>
      <c r="M99" s="540"/>
      <c r="N99" s="542"/>
      <c r="O99" s="544"/>
      <c r="P99" s="544"/>
      <c r="Q99" s="544"/>
      <c r="R99" s="544"/>
      <c r="S99" s="544"/>
      <c r="T99" s="544"/>
      <c r="U99" s="544"/>
    </row>
    <row r="100" spans="1:21" s="543" customFormat="1" ht="15" customHeight="1">
      <c r="A100" s="538"/>
      <c r="B100" s="537"/>
      <c r="C100" s="600" t="s">
        <v>550</v>
      </c>
      <c r="D100" s="601"/>
      <c r="E100" s="532">
        <f t="shared" si="3"/>
        <v>16078</v>
      </c>
      <c r="F100" s="540"/>
      <c r="G100" s="540"/>
      <c r="H100" s="540">
        <v>16078</v>
      </c>
      <c r="I100" s="540"/>
      <c r="J100" s="540"/>
      <c r="K100" s="540"/>
      <c r="L100" s="540"/>
      <c r="M100" s="540"/>
      <c r="N100" s="542"/>
      <c r="O100" s="544"/>
      <c r="P100" s="544"/>
      <c r="Q100" s="544"/>
      <c r="R100" s="544"/>
      <c r="S100" s="544"/>
      <c r="T100" s="544"/>
      <c r="U100" s="544"/>
    </row>
    <row r="101" spans="1:21" s="543" customFormat="1" ht="15" customHeight="1">
      <c r="A101" s="538"/>
      <c r="B101" s="537"/>
      <c r="C101" s="600" t="s">
        <v>535</v>
      </c>
      <c r="D101" s="601"/>
      <c r="E101" s="532">
        <f t="shared" si="3"/>
        <v>16037</v>
      </c>
      <c r="F101" s="540"/>
      <c r="G101" s="540"/>
      <c r="H101" s="540">
        <v>16037</v>
      </c>
      <c r="I101" s="540"/>
      <c r="J101" s="540"/>
      <c r="K101" s="540"/>
      <c r="L101" s="540"/>
      <c r="M101" s="540"/>
      <c r="N101" s="542"/>
      <c r="O101" s="544"/>
      <c r="P101" s="544"/>
      <c r="Q101" s="544"/>
      <c r="R101" s="544"/>
      <c r="S101" s="544"/>
      <c r="T101" s="544"/>
      <c r="U101" s="544"/>
    </row>
    <row r="102" spans="1:21" s="543" customFormat="1" ht="15" customHeight="1">
      <c r="A102" s="538">
        <v>841906</v>
      </c>
      <c r="B102" s="537" t="s">
        <v>110</v>
      </c>
      <c r="C102" s="602" t="s">
        <v>754</v>
      </c>
      <c r="D102" s="601">
        <v>1055533</v>
      </c>
      <c r="E102" s="532">
        <f t="shared" si="3"/>
        <v>261597</v>
      </c>
      <c r="F102" s="540"/>
      <c r="G102" s="540"/>
      <c r="H102" s="540">
        <v>124421</v>
      </c>
      <c r="I102" s="540">
        <v>3161</v>
      </c>
      <c r="J102" s="540"/>
      <c r="K102" s="540"/>
      <c r="L102" s="540"/>
      <c r="M102" s="540">
        <v>134015</v>
      </c>
      <c r="N102" s="542"/>
      <c r="O102" s="544"/>
      <c r="P102" s="544"/>
      <c r="Q102" s="544"/>
      <c r="R102" s="544"/>
      <c r="S102" s="544"/>
      <c r="T102" s="544"/>
      <c r="U102" s="544"/>
    </row>
    <row r="103" spans="1:21" s="543" customFormat="1" ht="15" customHeight="1">
      <c r="A103" s="538"/>
      <c r="B103" s="537"/>
      <c r="C103" s="600" t="s">
        <v>550</v>
      </c>
      <c r="D103" s="601">
        <v>254408</v>
      </c>
      <c r="E103" s="532">
        <f t="shared" si="3"/>
        <v>225469</v>
      </c>
      <c r="F103" s="540"/>
      <c r="G103" s="540"/>
      <c r="H103" s="540">
        <v>88243</v>
      </c>
      <c r="I103" s="540">
        <v>3161</v>
      </c>
      <c r="J103" s="540"/>
      <c r="K103" s="540"/>
      <c r="L103" s="540"/>
      <c r="M103" s="540">
        <v>134065</v>
      </c>
      <c r="N103" s="542"/>
      <c r="O103" s="544"/>
      <c r="P103" s="544"/>
      <c r="Q103" s="544"/>
      <c r="R103" s="544"/>
      <c r="S103" s="544"/>
      <c r="T103" s="544"/>
      <c r="U103" s="544"/>
    </row>
    <row r="104" spans="1:21" s="543" customFormat="1" ht="15" customHeight="1">
      <c r="A104" s="538"/>
      <c r="B104" s="537"/>
      <c r="C104" s="600" t="s">
        <v>535</v>
      </c>
      <c r="D104" s="601">
        <v>11659</v>
      </c>
      <c r="E104" s="532">
        <f t="shared" si="3"/>
        <v>644679</v>
      </c>
      <c r="F104" s="540"/>
      <c r="G104" s="540"/>
      <c r="H104" s="540">
        <v>46343</v>
      </c>
      <c r="I104" s="540">
        <v>464287</v>
      </c>
      <c r="J104" s="540"/>
      <c r="K104" s="540"/>
      <c r="L104" s="540"/>
      <c r="M104" s="540">
        <v>134049</v>
      </c>
      <c r="N104" s="542"/>
      <c r="O104" s="544"/>
      <c r="P104" s="544"/>
      <c r="Q104" s="544"/>
      <c r="R104" s="544"/>
      <c r="S104" s="544"/>
      <c r="T104" s="544"/>
      <c r="U104" s="544"/>
    </row>
    <row r="105" spans="1:21" s="543" customFormat="1" ht="15" customHeight="1">
      <c r="A105" s="538">
        <v>841908</v>
      </c>
      <c r="B105" s="537" t="s">
        <v>796</v>
      </c>
      <c r="C105" s="602" t="s">
        <v>754</v>
      </c>
      <c r="D105" s="601"/>
      <c r="E105" s="532">
        <f t="shared" si="3"/>
        <v>13000</v>
      </c>
      <c r="F105" s="540"/>
      <c r="G105" s="540"/>
      <c r="H105" s="540"/>
      <c r="I105" s="540"/>
      <c r="J105" s="540"/>
      <c r="K105" s="540"/>
      <c r="L105" s="540"/>
      <c r="M105" s="540"/>
      <c r="N105" s="542">
        <v>13000</v>
      </c>
      <c r="O105" s="544"/>
      <c r="P105" s="544"/>
      <c r="Q105" s="544"/>
      <c r="R105" s="544"/>
      <c r="S105" s="544"/>
      <c r="T105" s="544"/>
      <c r="U105" s="544"/>
    </row>
    <row r="106" spans="1:21" s="543" customFormat="1" ht="15" customHeight="1">
      <c r="A106" s="538"/>
      <c r="B106" s="537"/>
      <c r="C106" s="600" t="s">
        <v>550</v>
      </c>
      <c r="D106" s="601"/>
      <c r="E106" s="532">
        <f t="shared" si="3"/>
        <v>11</v>
      </c>
      <c r="F106" s="540"/>
      <c r="G106" s="540"/>
      <c r="H106" s="540"/>
      <c r="I106" s="540"/>
      <c r="J106" s="540"/>
      <c r="K106" s="540"/>
      <c r="L106" s="540"/>
      <c r="M106" s="540"/>
      <c r="N106" s="542">
        <v>11</v>
      </c>
      <c r="O106" s="544"/>
      <c r="P106" s="544"/>
      <c r="Q106" s="544"/>
      <c r="R106" s="544"/>
      <c r="S106" s="544"/>
      <c r="T106" s="544"/>
      <c r="U106" s="544"/>
    </row>
    <row r="107" spans="1:21" s="543" customFormat="1" ht="15" customHeight="1">
      <c r="A107" s="538"/>
      <c r="B107" s="537"/>
      <c r="C107" s="600" t="s">
        <v>535</v>
      </c>
      <c r="D107" s="601"/>
      <c r="E107" s="532"/>
      <c r="F107" s="540"/>
      <c r="G107" s="540"/>
      <c r="H107" s="540"/>
      <c r="I107" s="540"/>
      <c r="J107" s="540"/>
      <c r="K107" s="540"/>
      <c r="L107" s="540"/>
      <c r="M107" s="540"/>
      <c r="N107" s="542"/>
      <c r="O107" s="544"/>
      <c r="P107" s="544"/>
      <c r="Q107" s="544"/>
      <c r="R107" s="544"/>
      <c r="S107" s="544"/>
      <c r="T107" s="544"/>
      <c r="U107" s="544"/>
    </row>
    <row r="108" spans="1:21" s="543" customFormat="1" ht="15" customHeight="1">
      <c r="A108" s="538">
        <v>841908</v>
      </c>
      <c r="B108" s="537" t="s">
        <v>111</v>
      </c>
      <c r="C108" s="602" t="s">
        <v>754</v>
      </c>
      <c r="D108" s="601"/>
      <c r="E108" s="532">
        <f>SUM(F108:N108)</f>
        <v>204545</v>
      </c>
      <c r="F108" s="540"/>
      <c r="G108" s="540"/>
      <c r="H108" s="540"/>
      <c r="I108" s="540"/>
      <c r="J108" s="540"/>
      <c r="K108" s="540"/>
      <c r="L108" s="540"/>
      <c r="M108" s="540"/>
      <c r="N108" s="542">
        <v>204545</v>
      </c>
      <c r="O108" s="544"/>
      <c r="P108" s="544"/>
      <c r="Q108" s="544"/>
      <c r="R108" s="544"/>
      <c r="S108" s="544"/>
      <c r="T108" s="544"/>
      <c r="U108" s="544"/>
    </row>
    <row r="109" spans="1:21" s="543" customFormat="1" ht="15" customHeight="1">
      <c r="A109" s="538"/>
      <c r="B109" s="537"/>
      <c r="C109" s="600" t="s">
        <v>550</v>
      </c>
      <c r="D109" s="601"/>
      <c r="E109" s="532">
        <f>SUM(F109:N109)</f>
        <v>122319</v>
      </c>
      <c r="F109" s="540"/>
      <c r="G109" s="540"/>
      <c r="H109" s="540"/>
      <c r="I109" s="540"/>
      <c r="J109" s="540"/>
      <c r="K109" s="540"/>
      <c r="L109" s="540"/>
      <c r="M109" s="540"/>
      <c r="N109" s="542">
        <v>122319</v>
      </c>
      <c r="O109" s="544"/>
      <c r="P109" s="544"/>
      <c r="Q109" s="544"/>
      <c r="R109" s="544"/>
      <c r="S109" s="544"/>
      <c r="T109" s="544"/>
      <c r="U109" s="544"/>
    </row>
    <row r="110" spans="1:21" s="543" customFormat="1" ht="15" customHeight="1">
      <c r="A110" s="538"/>
      <c r="B110" s="537"/>
      <c r="C110" s="600" t="s">
        <v>535</v>
      </c>
      <c r="D110" s="601"/>
      <c r="E110" s="532"/>
      <c r="F110" s="540"/>
      <c r="G110" s="540"/>
      <c r="H110" s="540"/>
      <c r="I110" s="540"/>
      <c r="J110" s="540"/>
      <c r="K110" s="540"/>
      <c r="L110" s="540"/>
      <c r="M110" s="540"/>
      <c r="N110" s="542"/>
      <c r="O110" s="544"/>
      <c r="P110" s="544"/>
      <c r="Q110" s="544"/>
      <c r="R110" s="544"/>
      <c r="S110" s="544"/>
      <c r="T110" s="544"/>
      <c r="U110" s="544"/>
    </row>
    <row r="111" spans="1:21" s="543" customFormat="1" ht="15" customHeight="1">
      <c r="A111" s="538">
        <v>842155</v>
      </c>
      <c r="B111" s="537" t="s">
        <v>112</v>
      </c>
      <c r="C111" s="602" t="s">
        <v>754</v>
      </c>
      <c r="D111" s="601">
        <v>8700</v>
      </c>
      <c r="E111" s="532">
        <f aca="true" t="shared" si="4" ref="E111:E142">SUM(F111:N111)</f>
        <v>1532</v>
      </c>
      <c r="F111" s="540">
        <v>1088</v>
      </c>
      <c r="G111" s="540">
        <v>294</v>
      </c>
      <c r="H111" s="540">
        <v>70</v>
      </c>
      <c r="I111" s="540">
        <v>80</v>
      </c>
      <c r="J111" s="540"/>
      <c r="K111" s="540"/>
      <c r="L111" s="540"/>
      <c r="M111" s="541"/>
      <c r="N111" s="542"/>
      <c r="O111" s="544"/>
      <c r="P111" s="544"/>
      <c r="Q111" s="544"/>
      <c r="R111" s="544"/>
      <c r="S111" s="544"/>
      <c r="T111" s="544"/>
      <c r="U111" s="544"/>
    </row>
    <row r="112" spans="1:21" s="543" customFormat="1" ht="15" customHeight="1">
      <c r="A112" s="538"/>
      <c r="B112" s="537"/>
      <c r="C112" s="600" t="s">
        <v>550</v>
      </c>
      <c r="D112" s="601">
        <v>8700</v>
      </c>
      <c r="E112" s="532">
        <f t="shared" si="4"/>
        <v>2967</v>
      </c>
      <c r="F112" s="540">
        <v>1088</v>
      </c>
      <c r="G112" s="540">
        <v>294</v>
      </c>
      <c r="H112" s="540">
        <v>1505</v>
      </c>
      <c r="I112" s="540">
        <v>80</v>
      </c>
      <c r="J112" s="540"/>
      <c r="K112" s="540"/>
      <c r="L112" s="540"/>
      <c r="M112" s="541"/>
      <c r="N112" s="542"/>
      <c r="O112" s="544"/>
      <c r="P112" s="544"/>
      <c r="Q112" s="544"/>
      <c r="R112" s="544"/>
      <c r="S112" s="544"/>
      <c r="T112" s="544"/>
      <c r="U112" s="544"/>
    </row>
    <row r="113" spans="1:21" s="543" customFormat="1" ht="15" customHeight="1">
      <c r="A113" s="538"/>
      <c r="B113" s="537"/>
      <c r="C113" s="600" t="s">
        <v>535</v>
      </c>
      <c r="D113" s="601">
        <v>8376</v>
      </c>
      <c r="E113" s="532">
        <f t="shared" si="4"/>
        <v>2856</v>
      </c>
      <c r="F113" s="540">
        <v>1087</v>
      </c>
      <c r="G113" s="540">
        <v>264</v>
      </c>
      <c r="H113" s="540">
        <v>1505</v>
      </c>
      <c r="I113" s="540"/>
      <c r="J113" s="540"/>
      <c r="K113" s="540"/>
      <c r="L113" s="540"/>
      <c r="M113" s="541"/>
      <c r="N113" s="542"/>
      <c r="O113" s="544"/>
      <c r="P113" s="544"/>
      <c r="Q113" s="544"/>
      <c r="R113" s="544"/>
      <c r="S113" s="544"/>
      <c r="T113" s="544"/>
      <c r="U113" s="544"/>
    </row>
    <row r="114" spans="1:21" s="543" customFormat="1" ht="15" customHeight="1">
      <c r="A114" s="538">
        <v>842155</v>
      </c>
      <c r="B114" s="537" t="s">
        <v>113</v>
      </c>
      <c r="C114" s="602" t="s">
        <v>754</v>
      </c>
      <c r="D114" s="601"/>
      <c r="E114" s="532">
        <f t="shared" si="4"/>
        <v>20802</v>
      </c>
      <c r="F114" s="540"/>
      <c r="G114" s="540">
        <v>1350</v>
      </c>
      <c r="H114" s="540">
        <v>19452</v>
      </c>
      <c r="I114" s="540"/>
      <c r="J114" s="540"/>
      <c r="K114" s="540"/>
      <c r="L114" s="540"/>
      <c r="M114" s="540"/>
      <c r="N114" s="542"/>
      <c r="O114" s="544"/>
      <c r="P114" s="544"/>
      <c r="Q114" s="544"/>
      <c r="R114" s="544"/>
      <c r="S114" s="544"/>
      <c r="T114" s="544"/>
      <c r="U114" s="544"/>
    </row>
    <row r="115" spans="1:21" s="543" customFormat="1" ht="15" customHeight="1">
      <c r="A115" s="538"/>
      <c r="B115" s="537"/>
      <c r="C115" s="600" t="s">
        <v>550</v>
      </c>
      <c r="D115" s="601"/>
      <c r="E115" s="532">
        <f t="shared" si="4"/>
        <v>31422</v>
      </c>
      <c r="F115" s="540">
        <v>1473</v>
      </c>
      <c r="G115" s="540">
        <v>3647</v>
      </c>
      <c r="H115" s="540">
        <v>26182</v>
      </c>
      <c r="I115" s="540">
        <v>120</v>
      </c>
      <c r="J115" s="540"/>
      <c r="K115" s="540"/>
      <c r="L115" s="540"/>
      <c r="M115" s="540"/>
      <c r="N115" s="542"/>
      <c r="O115" s="544"/>
      <c r="P115" s="544"/>
      <c r="Q115" s="544"/>
      <c r="R115" s="544"/>
      <c r="S115" s="544"/>
      <c r="T115" s="544"/>
      <c r="U115" s="544"/>
    </row>
    <row r="116" spans="1:21" s="543" customFormat="1" ht="15" customHeight="1">
      <c r="A116" s="538"/>
      <c r="B116" s="537"/>
      <c r="C116" s="600" t="s">
        <v>535</v>
      </c>
      <c r="D116" s="601">
        <v>18</v>
      </c>
      <c r="E116" s="532">
        <f t="shared" si="4"/>
        <v>30746</v>
      </c>
      <c r="F116" s="540">
        <v>1281</v>
      </c>
      <c r="G116" s="540">
        <v>3600</v>
      </c>
      <c r="H116" s="540">
        <v>25745</v>
      </c>
      <c r="I116" s="540">
        <v>120</v>
      </c>
      <c r="J116" s="540"/>
      <c r="K116" s="540"/>
      <c r="L116" s="540"/>
      <c r="M116" s="540"/>
      <c r="N116" s="542"/>
      <c r="O116" s="544"/>
      <c r="P116" s="544"/>
      <c r="Q116" s="544"/>
      <c r="R116" s="544"/>
      <c r="S116" s="544"/>
      <c r="T116" s="544"/>
      <c r="U116" s="544"/>
    </row>
    <row r="117" spans="1:21" s="543" customFormat="1" ht="15" customHeight="1">
      <c r="A117" s="538">
        <v>842155</v>
      </c>
      <c r="B117" s="537" t="s">
        <v>114</v>
      </c>
      <c r="C117" s="602" t="s">
        <v>754</v>
      </c>
      <c r="D117" s="601"/>
      <c r="E117" s="532">
        <f t="shared" si="4"/>
        <v>2800</v>
      </c>
      <c r="F117" s="540"/>
      <c r="G117" s="540"/>
      <c r="H117" s="540">
        <v>2800</v>
      </c>
      <c r="I117" s="540"/>
      <c r="J117" s="540"/>
      <c r="K117" s="540"/>
      <c r="L117" s="540"/>
      <c r="M117" s="540"/>
      <c r="N117" s="542"/>
      <c r="O117" s="544"/>
      <c r="P117" s="544"/>
      <c r="Q117" s="544"/>
      <c r="R117" s="544"/>
      <c r="S117" s="544"/>
      <c r="T117" s="544"/>
      <c r="U117" s="544"/>
    </row>
    <row r="118" spans="1:21" s="543" customFormat="1" ht="15" customHeight="1">
      <c r="A118" s="538"/>
      <c r="B118" s="537"/>
      <c r="C118" s="600" t="s">
        <v>550</v>
      </c>
      <c r="D118" s="601"/>
      <c r="E118" s="532">
        <f t="shared" si="4"/>
        <v>2800</v>
      </c>
      <c r="F118" s="540"/>
      <c r="G118" s="540"/>
      <c r="H118" s="540">
        <v>2800</v>
      </c>
      <c r="I118" s="540"/>
      <c r="J118" s="540"/>
      <c r="K118" s="540"/>
      <c r="L118" s="540"/>
      <c r="M118" s="540"/>
      <c r="N118" s="542"/>
      <c r="O118" s="544"/>
      <c r="P118" s="544"/>
      <c r="Q118" s="544"/>
      <c r="R118" s="544"/>
      <c r="S118" s="544"/>
      <c r="T118" s="544"/>
      <c r="U118" s="544"/>
    </row>
    <row r="119" spans="1:21" s="543" customFormat="1" ht="15" customHeight="1">
      <c r="A119" s="538"/>
      <c r="B119" s="537"/>
      <c r="C119" s="600" t="s">
        <v>535</v>
      </c>
      <c r="D119" s="601">
        <v>2</v>
      </c>
      <c r="E119" s="532">
        <f t="shared" si="4"/>
        <v>4337</v>
      </c>
      <c r="F119" s="540">
        <v>192</v>
      </c>
      <c r="G119" s="540">
        <v>47</v>
      </c>
      <c r="H119" s="540">
        <v>4098</v>
      </c>
      <c r="I119" s="540"/>
      <c r="J119" s="540"/>
      <c r="K119" s="540"/>
      <c r="L119" s="540"/>
      <c r="M119" s="540"/>
      <c r="N119" s="542"/>
      <c r="O119" s="544"/>
      <c r="P119" s="544"/>
      <c r="Q119" s="544"/>
      <c r="R119" s="544"/>
      <c r="S119" s="544"/>
      <c r="T119" s="544"/>
      <c r="U119" s="544"/>
    </row>
    <row r="120" spans="1:21" s="543" customFormat="1" ht="15" customHeight="1">
      <c r="A120" s="538">
        <v>842421</v>
      </c>
      <c r="B120" s="537" t="s">
        <v>115</v>
      </c>
      <c r="C120" s="602" t="s">
        <v>754</v>
      </c>
      <c r="D120" s="601">
        <v>600</v>
      </c>
      <c r="E120" s="532">
        <f t="shared" si="4"/>
        <v>7072</v>
      </c>
      <c r="F120" s="540"/>
      <c r="G120" s="540"/>
      <c r="H120" s="540"/>
      <c r="I120" s="540">
        <v>2500</v>
      </c>
      <c r="J120" s="540"/>
      <c r="K120" s="540"/>
      <c r="L120" s="540"/>
      <c r="M120" s="540"/>
      <c r="N120" s="542">
        <v>4572</v>
      </c>
      <c r="O120" s="544"/>
      <c r="P120" s="544"/>
      <c r="Q120" s="544"/>
      <c r="R120" s="544"/>
      <c r="S120" s="544"/>
      <c r="T120" s="544"/>
      <c r="U120" s="544"/>
    </row>
    <row r="121" spans="1:21" s="543" customFormat="1" ht="15" customHeight="1">
      <c r="A121" s="538"/>
      <c r="B121" s="537"/>
      <c r="C121" s="600" t="s">
        <v>550</v>
      </c>
      <c r="D121" s="601"/>
      <c r="E121" s="532">
        <f t="shared" si="4"/>
        <v>2500</v>
      </c>
      <c r="F121" s="540"/>
      <c r="G121" s="540"/>
      <c r="H121" s="540"/>
      <c r="I121" s="540">
        <v>2500</v>
      </c>
      <c r="J121" s="540"/>
      <c r="K121" s="540"/>
      <c r="L121" s="540"/>
      <c r="M121" s="540"/>
      <c r="N121" s="542"/>
      <c r="O121" s="544"/>
      <c r="P121" s="544"/>
      <c r="Q121" s="544"/>
      <c r="R121" s="544"/>
      <c r="S121" s="544"/>
      <c r="T121" s="544"/>
      <c r="U121" s="544"/>
    </row>
    <row r="122" spans="1:21" s="543" customFormat="1" ht="15" customHeight="1">
      <c r="A122" s="538"/>
      <c r="B122" s="537"/>
      <c r="C122" s="600" t="s">
        <v>535</v>
      </c>
      <c r="D122" s="601">
        <v>9</v>
      </c>
      <c r="E122" s="532">
        <f t="shared" si="4"/>
        <v>2500</v>
      </c>
      <c r="F122" s="540"/>
      <c r="G122" s="540"/>
      <c r="H122" s="540"/>
      <c r="I122" s="540">
        <v>2500</v>
      </c>
      <c r="J122" s="540"/>
      <c r="K122" s="540"/>
      <c r="L122" s="540"/>
      <c r="M122" s="540"/>
      <c r="N122" s="542"/>
      <c r="O122" s="544"/>
      <c r="P122" s="544"/>
      <c r="Q122" s="544"/>
      <c r="R122" s="544"/>
      <c r="S122" s="544"/>
      <c r="T122" s="544"/>
      <c r="U122" s="544"/>
    </row>
    <row r="123" spans="1:21" s="543" customFormat="1" ht="15" customHeight="1">
      <c r="A123" s="538">
        <v>842521</v>
      </c>
      <c r="B123" s="537" t="s">
        <v>116</v>
      </c>
      <c r="C123" s="602" t="s">
        <v>754</v>
      </c>
      <c r="D123" s="601"/>
      <c r="E123" s="532">
        <f t="shared" si="4"/>
        <v>250</v>
      </c>
      <c r="F123" s="540"/>
      <c r="G123" s="540"/>
      <c r="H123" s="540">
        <v>250</v>
      </c>
      <c r="I123" s="540"/>
      <c r="J123" s="540"/>
      <c r="K123" s="540"/>
      <c r="L123" s="540"/>
      <c r="M123" s="540"/>
      <c r="N123" s="542"/>
      <c r="O123" s="544"/>
      <c r="P123" s="544"/>
      <c r="Q123" s="544"/>
      <c r="R123" s="544"/>
      <c r="S123" s="544"/>
      <c r="T123" s="544"/>
      <c r="U123" s="544"/>
    </row>
    <row r="124" spans="1:21" s="543" customFormat="1" ht="15" customHeight="1">
      <c r="A124" s="538"/>
      <c r="B124" s="537"/>
      <c r="C124" s="600" t="s">
        <v>550</v>
      </c>
      <c r="D124" s="601"/>
      <c r="E124" s="532">
        <f t="shared" si="4"/>
        <v>250</v>
      </c>
      <c r="F124" s="540"/>
      <c r="G124" s="540"/>
      <c r="H124" s="540">
        <v>250</v>
      </c>
      <c r="I124" s="540"/>
      <c r="J124" s="540"/>
      <c r="K124" s="540"/>
      <c r="L124" s="540"/>
      <c r="M124" s="540"/>
      <c r="N124" s="542"/>
      <c r="O124" s="544"/>
      <c r="P124" s="544"/>
      <c r="Q124" s="544"/>
      <c r="R124" s="544"/>
      <c r="S124" s="544"/>
      <c r="T124" s="544"/>
      <c r="U124" s="544"/>
    </row>
    <row r="125" spans="1:21" s="543" customFormat="1" ht="15" customHeight="1">
      <c r="A125" s="538"/>
      <c r="B125" s="537"/>
      <c r="C125" s="600" t="s">
        <v>535</v>
      </c>
      <c r="D125" s="601"/>
      <c r="E125" s="532">
        <f t="shared" si="4"/>
        <v>263</v>
      </c>
      <c r="F125" s="540">
        <v>170</v>
      </c>
      <c r="G125" s="540"/>
      <c r="H125" s="540">
        <v>93</v>
      </c>
      <c r="I125" s="540"/>
      <c r="J125" s="540"/>
      <c r="K125" s="540"/>
      <c r="L125" s="540"/>
      <c r="M125" s="540"/>
      <c r="N125" s="542"/>
      <c r="O125" s="544"/>
      <c r="P125" s="544"/>
      <c r="Q125" s="544"/>
      <c r="R125" s="544"/>
      <c r="S125" s="544"/>
      <c r="T125" s="544"/>
      <c r="U125" s="544"/>
    </row>
    <row r="126" spans="1:21" s="543" customFormat="1" ht="15" customHeight="1">
      <c r="A126" s="538">
        <v>842532</v>
      </c>
      <c r="B126" s="537" t="s">
        <v>117</v>
      </c>
      <c r="C126" s="602" t="s">
        <v>754</v>
      </c>
      <c r="D126" s="601"/>
      <c r="E126" s="532">
        <f t="shared" si="4"/>
        <v>991</v>
      </c>
      <c r="F126" s="534"/>
      <c r="G126" s="534"/>
      <c r="H126" s="534">
        <v>991</v>
      </c>
      <c r="I126" s="534"/>
      <c r="J126" s="534"/>
      <c r="K126" s="534"/>
      <c r="L126" s="534"/>
      <c r="M126" s="534"/>
      <c r="N126" s="535"/>
      <c r="O126" s="544"/>
      <c r="P126" s="544"/>
      <c r="Q126" s="544"/>
      <c r="R126" s="544"/>
      <c r="S126" s="544"/>
      <c r="T126" s="544"/>
      <c r="U126" s="544"/>
    </row>
    <row r="127" spans="1:21" s="543" customFormat="1" ht="15" customHeight="1">
      <c r="A127" s="538"/>
      <c r="B127" s="537"/>
      <c r="C127" s="600" t="s">
        <v>550</v>
      </c>
      <c r="D127" s="601"/>
      <c r="E127" s="532">
        <f t="shared" si="4"/>
        <v>991</v>
      </c>
      <c r="F127" s="534"/>
      <c r="G127" s="534"/>
      <c r="H127" s="534">
        <v>991</v>
      </c>
      <c r="I127" s="534"/>
      <c r="J127" s="534"/>
      <c r="K127" s="534"/>
      <c r="L127" s="534"/>
      <c r="M127" s="534"/>
      <c r="N127" s="535"/>
      <c r="O127" s="544"/>
      <c r="P127" s="544"/>
      <c r="Q127" s="544"/>
      <c r="R127" s="544"/>
      <c r="S127" s="544"/>
      <c r="T127" s="544"/>
      <c r="U127" s="544"/>
    </row>
    <row r="128" spans="1:21" s="543" customFormat="1" ht="15" customHeight="1">
      <c r="A128" s="538"/>
      <c r="B128" s="537"/>
      <c r="C128" s="600" t="s">
        <v>535</v>
      </c>
      <c r="D128" s="601"/>
      <c r="E128" s="532">
        <f t="shared" si="4"/>
        <v>18</v>
      </c>
      <c r="F128" s="534"/>
      <c r="G128" s="534"/>
      <c r="H128" s="534">
        <v>18</v>
      </c>
      <c r="I128" s="534"/>
      <c r="J128" s="534"/>
      <c r="K128" s="534"/>
      <c r="L128" s="534"/>
      <c r="M128" s="534"/>
      <c r="N128" s="535"/>
      <c r="O128" s="544"/>
      <c r="P128" s="544"/>
      <c r="Q128" s="544"/>
      <c r="R128" s="544"/>
      <c r="S128" s="544"/>
      <c r="T128" s="544"/>
      <c r="U128" s="544"/>
    </row>
    <row r="129" spans="1:21" s="543" customFormat="1" ht="15" customHeight="1">
      <c r="A129" s="538">
        <v>851011</v>
      </c>
      <c r="B129" s="537" t="s">
        <v>118</v>
      </c>
      <c r="C129" s="602" t="s">
        <v>754</v>
      </c>
      <c r="D129" s="601"/>
      <c r="E129" s="532">
        <f t="shared" si="4"/>
        <v>12000</v>
      </c>
      <c r="F129" s="540"/>
      <c r="G129" s="540"/>
      <c r="H129" s="540"/>
      <c r="I129" s="540">
        <v>12000</v>
      </c>
      <c r="J129" s="540"/>
      <c r="K129" s="540"/>
      <c r="L129" s="540"/>
      <c r="M129" s="540"/>
      <c r="N129" s="542"/>
      <c r="O129" s="544"/>
      <c r="P129" s="544"/>
      <c r="Q129" s="544"/>
      <c r="R129" s="544"/>
      <c r="S129" s="544"/>
      <c r="T129" s="544"/>
      <c r="U129" s="544"/>
    </row>
    <row r="130" spans="1:21" s="543" customFormat="1" ht="15" customHeight="1">
      <c r="A130" s="538"/>
      <c r="B130" s="537"/>
      <c r="C130" s="600" t="s">
        <v>550</v>
      </c>
      <c r="D130" s="601"/>
      <c r="E130" s="532">
        <f t="shared" si="4"/>
        <v>12000</v>
      </c>
      <c r="F130" s="540"/>
      <c r="G130" s="540"/>
      <c r="H130" s="540"/>
      <c r="I130" s="540">
        <v>12000</v>
      </c>
      <c r="J130" s="540"/>
      <c r="K130" s="540"/>
      <c r="L130" s="540"/>
      <c r="M130" s="540"/>
      <c r="N130" s="542"/>
      <c r="O130" s="544"/>
      <c r="P130" s="544"/>
      <c r="Q130" s="544"/>
      <c r="R130" s="544"/>
      <c r="S130" s="544"/>
      <c r="T130" s="544"/>
      <c r="U130" s="544"/>
    </row>
    <row r="131" spans="1:21" s="543" customFormat="1" ht="15" customHeight="1">
      <c r="A131" s="538"/>
      <c r="B131" s="537"/>
      <c r="C131" s="600" t="s">
        <v>535</v>
      </c>
      <c r="D131" s="601"/>
      <c r="E131" s="532">
        <f t="shared" si="4"/>
        <v>12030</v>
      </c>
      <c r="F131" s="540"/>
      <c r="G131" s="540">
        <v>3</v>
      </c>
      <c r="H131" s="540">
        <v>27</v>
      </c>
      <c r="I131" s="540">
        <v>12000</v>
      </c>
      <c r="J131" s="540"/>
      <c r="K131" s="540"/>
      <c r="L131" s="540"/>
      <c r="M131" s="540"/>
      <c r="N131" s="542"/>
      <c r="O131" s="544"/>
      <c r="P131" s="544"/>
      <c r="Q131" s="544"/>
      <c r="R131" s="544"/>
      <c r="S131" s="544"/>
      <c r="T131" s="544"/>
      <c r="U131" s="544"/>
    </row>
    <row r="132" spans="1:21" s="543" customFormat="1" ht="15" customHeight="1">
      <c r="A132" s="538">
        <v>852000</v>
      </c>
      <c r="B132" s="537" t="s">
        <v>119</v>
      </c>
      <c r="C132" s="602" t="s">
        <v>754</v>
      </c>
      <c r="D132" s="601">
        <v>31500</v>
      </c>
      <c r="E132" s="532">
        <f t="shared" si="4"/>
        <v>9340</v>
      </c>
      <c r="F132" s="540"/>
      <c r="G132" s="540"/>
      <c r="H132" s="540"/>
      <c r="I132" s="540">
        <v>4680</v>
      </c>
      <c r="J132" s="540"/>
      <c r="K132" s="540"/>
      <c r="L132" s="540"/>
      <c r="M132" s="540"/>
      <c r="N132" s="542">
        <v>4660</v>
      </c>
      <c r="O132" s="544"/>
      <c r="P132" s="544"/>
      <c r="Q132" s="544"/>
      <c r="R132" s="544"/>
      <c r="S132" s="544"/>
      <c r="T132" s="544"/>
      <c r="U132" s="544"/>
    </row>
    <row r="133" spans="1:22" s="561" customFormat="1" ht="15" customHeight="1">
      <c r="A133" s="538"/>
      <c r="B133" s="537"/>
      <c r="C133" s="600" t="s">
        <v>550</v>
      </c>
      <c r="D133" s="601">
        <v>35903</v>
      </c>
      <c r="E133" s="532">
        <f t="shared" si="4"/>
        <v>5001</v>
      </c>
      <c r="F133" s="540"/>
      <c r="G133" s="540"/>
      <c r="H133" s="540">
        <v>921</v>
      </c>
      <c r="I133" s="540">
        <v>4080</v>
      </c>
      <c r="J133" s="540"/>
      <c r="K133" s="540"/>
      <c r="L133" s="540"/>
      <c r="M133" s="540"/>
      <c r="N133" s="542"/>
      <c r="O133" s="544"/>
      <c r="P133" s="544"/>
      <c r="Q133" s="544"/>
      <c r="R133" s="544"/>
      <c r="S133" s="544"/>
      <c r="T133" s="544"/>
      <c r="U133" s="544"/>
      <c r="V133" s="605"/>
    </row>
    <row r="134" spans="1:22" s="561" customFormat="1" ht="15" customHeight="1">
      <c r="A134" s="538"/>
      <c r="B134" s="537"/>
      <c r="C134" s="600" t="s">
        <v>535</v>
      </c>
      <c r="D134" s="601">
        <v>33805</v>
      </c>
      <c r="E134" s="532">
        <f t="shared" si="4"/>
        <v>4971</v>
      </c>
      <c r="F134" s="540"/>
      <c r="G134" s="540"/>
      <c r="H134" s="540">
        <v>961</v>
      </c>
      <c r="I134" s="540">
        <v>4010</v>
      </c>
      <c r="J134" s="540"/>
      <c r="K134" s="540"/>
      <c r="L134" s="540"/>
      <c r="M134" s="540"/>
      <c r="N134" s="542"/>
      <c r="O134" s="544"/>
      <c r="P134" s="544"/>
      <c r="Q134" s="544"/>
      <c r="R134" s="544"/>
      <c r="S134" s="544"/>
      <c r="T134" s="544"/>
      <c r="U134" s="544"/>
      <c r="V134" s="605"/>
    </row>
    <row r="135" spans="1:22" s="561" customFormat="1" ht="15" customHeight="1">
      <c r="A135" s="538">
        <v>852000</v>
      </c>
      <c r="B135" s="537" t="s">
        <v>120</v>
      </c>
      <c r="C135" s="602" t="s">
        <v>754</v>
      </c>
      <c r="D135" s="601"/>
      <c r="E135" s="532">
        <f t="shared" si="4"/>
        <v>1000</v>
      </c>
      <c r="F135" s="534">
        <v>1000</v>
      </c>
      <c r="G135" s="534"/>
      <c r="H135" s="534"/>
      <c r="I135" s="534"/>
      <c r="J135" s="534"/>
      <c r="K135" s="534"/>
      <c r="L135" s="534"/>
      <c r="M135" s="534"/>
      <c r="N135" s="535"/>
      <c r="O135" s="544"/>
      <c r="P135" s="544"/>
      <c r="Q135" s="544"/>
      <c r="R135" s="544"/>
      <c r="S135" s="544"/>
      <c r="T135" s="544"/>
      <c r="U135" s="544"/>
      <c r="V135" s="605"/>
    </row>
    <row r="136" spans="1:21" s="543" customFormat="1" ht="15" customHeight="1">
      <c r="A136" s="538"/>
      <c r="B136" s="537"/>
      <c r="C136" s="600" t="s">
        <v>550</v>
      </c>
      <c r="D136" s="601"/>
      <c r="E136" s="532">
        <f t="shared" si="4"/>
        <v>1000</v>
      </c>
      <c r="F136" s="534">
        <v>1000</v>
      </c>
      <c r="G136" s="534"/>
      <c r="H136" s="534"/>
      <c r="I136" s="534"/>
      <c r="J136" s="534"/>
      <c r="K136" s="534"/>
      <c r="L136" s="534"/>
      <c r="M136" s="534"/>
      <c r="N136" s="535"/>
      <c r="O136" s="544"/>
      <c r="P136" s="544"/>
      <c r="Q136" s="544"/>
      <c r="R136" s="544"/>
      <c r="S136" s="544"/>
      <c r="T136" s="544"/>
      <c r="U136" s="544"/>
    </row>
    <row r="137" spans="1:21" s="543" customFormat="1" ht="15" customHeight="1">
      <c r="A137" s="538"/>
      <c r="B137" s="537"/>
      <c r="C137" s="600" t="s">
        <v>535</v>
      </c>
      <c r="D137" s="601"/>
      <c r="E137" s="532">
        <f t="shared" si="4"/>
        <v>339</v>
      </c>
      <c r="F137" s="534">
        <v>324</v>
      </c>
      <c r="G137" s="534">
        <v>15</v>
      </c>
      <c r="H137" s="534"/>
      <c r="I137" s="534"/>
      <c r="J137" s="534"/>
      <c r="K137" s="534"/>
      <c r="L137" s="534"/>
      <c r="M137" s="534"/>
      <c r="N137" s="535"/>
      <c r="O137" s="544"/>
      <c r="P137" s="544"/>
      <c r="Q137" s="544"/>
      <c r="R137" s="544"/>
      <c r="S137" s="544"/>
      <c r="T137" s="544"/>
      <c r="U137" s="544"/>
    </row>
    <row r="138" spans="1:21" s="543" customFormat="1" ht="15" customHeight="1">
      <c r="A138" s="538">
        <v>853000</v>
      </c>
      <c r="B138" s="537" t="s">
        <v>121</v>
      </c>
      <c r="C138" s="602" t="s">
        <v>754</v>
      </c>
      <c r="D138" s="601"/>
      <c r="E138" s="532">
        <f t="shared" si="4"/>
        <v>0</v>
      </c>
      <c r="F138" s="534"/>
      <c r="G138" s="534"/>
      <c r="H138" s="534"/>
      <c r="I138" s="534"/>
      <c r="J138" s="534"/>
      <c r="K138" s="534"/>
      <c r="L138" s="534"/>
      <c r="M138" s="534"/>
      <c r="N138" s="535"/>
      <c r="O138" s="544"/>
      <c r="P138" s="544"/>
      <c r="Q138" s="544"/>
      <c r="R138" s="544"/>
      <c r="S138" s="544"/>
      <c r="T138" s="544"/>
      <c r="U138" s="544"/>
    </row>
    <row r="139" spans="1:21" s="543" customFormat="1" ht="15" customHeight="1">
      <c r="A139" s="538"/>
      <c r="B139" s="537"/>
      <c r="C139" s="600" t="s">
        <v>550</v>
      </c>
      <c r="D139" s="601"/>
      <c r="E139" s="532">
        <f t="shared" si="4"/>
        <v>1200</v>
      </c>
      <c r="F139" s="534"/>
      <c r="G139" s="534"/>
      <c r="H139" s="534"/>
      <c r="I139" s="534">
        <v>1200</v>
      </c>
      <c r="J139" s="534"/>
      <c r="K139" s="534"/>
      <c r="L139" s="534"/>
      <c r="M139" s="534"/>
      <c r="N139" s="535"/>
      <c r="O139" s="544"/>
      <c r="P139" s="544"/>
      <c r="Q139" s="544"/>
      <c r="R139" s="544"/>
      <c r="S139" s="544"/>
      <c r="T139" s="544"/>
      <c r="U139" s="544"/>
    </row>
    <row r="140" spans="1:21" s="543" customFormat="1" ht="15" customHeight="1">
      <c r="A140" s="538"/>
      <c r="B140" s="537"/>
      <c r="C140" s="600" t="s">
        <v>535</v>
      </c>
      <c r="D140" s="601"/>
      <c r="E140" s="532">
        <f t="shared" si="4"/>
        <v>1200</v>
      </c>
      <c r="F140" s="534"/>
      <c r="G140" s="534"/>
      <c r="H140" s="534"/>
      <c r="I140" s="534">
        <v>1200</v>
      </c>
      <c r="J140" s="534"/>
      <c r="K140" s="534"/>
      <c r="L140" s="534"/>
      <c r="M140" s="534"/>
      <c r="N140" s="535"/>
      <c r="O140" s="544"/>
      <c r="P140" s="544"/>
      <c r="Q140" s="544"/>
      <c r="R140" s="544"/>
      <c r="S140" s="544"/>
      <c r="T140" s="544"/>
      <c r="U140" s="544"/>
    </row>
    <row r="141" spans="1:21" s="543" customFormat="1" ht="15" customHeight="1">
      <c r="A141" s="538">
        <v>855100</v>
      </c>
      <c r="B141" s="537" t="s">
        <v>122</v>
      </c>
      <c r="C141" s="602" t="s">
        <v>754</v>
      </c>
      <c r="D141" s="601">
        <v>50323</v>
      </c>
      <c r="E141" s="532">
        <f t="shared" si="4"/>
        <v>50323</v>
      </c>
      <c r="F141" s="540"/>
      <c r="G141" s="540"/>
      <c r="H141" s="540">
        <v>50323</v>
      </c>
      <c r="I141" s="540"/>
      <c r="J141" s="540"/>
      <c r="K141" s="540"/>
      <c r="L141" s="540"/>
      <c r="M141" s="541"/>
      <c r="N141" s="542"/>
      <c r="O141" s="544"/>
      <c r="P141" s="544"/>
      <c r="Q141" s="544"/>
      <c r="R141" s="544"/>
      <c r="S141" s="544"/>
      <c r="T141" s="544"/>
      <c r="U141" s="544"/>
    </row>
    <row r="142" spans="1:21" s="543" customFormat="1" ht="15" customHeight="1">
      <c r="A142" s="538"/>
      <c r="B142" s="537"/>
      <c r="C142" s="600" t="s">
        <v>550</v>
      </c>
      <c r="D142" s="601">
        <v>50329</v>
      </c>
      <c r="E142" s="532">
        <f t="shared" si="4"/>
        <v>55500</v>
      </c>
      <c r="F142" s="540"/>
      <c r="G142" s="540"/>
      <c r="H142" s="540">
        <v>50500</v>
      </c>
      <c r="I142" s="540"/>
      <c r="J142" s="540"/>
      <c r="K142" s="540"/>
      <c r="L142" s="540">
        <v>5000</v>
      </c>
      <c r="M142" s="541"/>
      <c r="N142" s="542"/>
      <c r="O142" s="544"/>
      <c r="P142" s="544"/>
      <c r="Q142" s="544"/>
      <c r="R142" s="544"/>
      <c r="S142" s="544"/>
      <c r="T142" s="544"/>
      <c r="U142" s="544"/>
    </row>
    <row r="143" spans="1:21" s="543" customFormat="1" ht="15" customHeight="1">
      <c r="A143" s="538"/>
      <c r="B143" s="537"/>
      <c r="C143" s="600" t="s">
        <v>535</v>
      </c>
      <c r="D143" s="601">
        <v>50361</v>
      </c>
      <c r="E143" s="532">
        <f aca="true" t="shared" si="5" ref="E143:E159">SUM(F143:N143)</f>
        <v>50500</v>
      </c>
      <c r="F143" s="540"/>
      <c r="G143" s="540"/>
      <c r="H143" s="540">
        <v>50500</v>
      </c>
      <c r="I143" s="540"/>
      <c r="J143" s="540"/>
      <c r="K143" s="540"/>
      <c r="L143" s="540"/>
      <c r="M143" s="541"/>
      <c r="N143" s="542"/>
      <c r="O143" s="544"/>
      <c r="P143" s="544"/>
      <c r="Q143" s="544"/>
      <c r="R143" s="544"/>
      <c r="S143" s="544"/>
      <c r="T143" s="544"/>
      <c r="U143" s="544"/>
    </row>
    <row r="144" spans="1:21" s="543" customFormat="1" ht="15" customHeight="1">
      <c r="A144" s="538">
        <v>856020</v>
      </c>
      <c r="B144" s="537" t="s">
        <v>123</v>
      </c>
      <c r="C144" s="602" t="s">
        <v>754</v>
      </c>
      <c r="D144" s="601"/>
      <c r="E144" s="532">
        <f t="shared" si="5"/>
        <v>1000</v>
      </c>
      <c r="F144" s="540"/>
      <c r="G144" s="540"/>
      <c r="H144" s="540">
        <v>1000</v>
      </c>
      <c r="I144" s="540"/>
      <c r="J144" s="540"/>
      <c r="K144" s="540"/>
      <c r="L144" s="540"/>
      <c r="M144" s="541"/>
      <c r="N144" s="542"/>
      <c r="O144" s="544"/>
      <c r="P144" s="544"/>
      <c r="Q144" s="544"/>
      <c r="R144" s="544"/>
      <c r="S144" s="544"/>
      <c r="T144" s="544"/>
      <c r="U144" s="544"/>
    </row>
    <row r="145" spans="1:21" s="543" customFormat="1" ht="15" customHeight="1">
      <c r="A145" s="538"/>
      <c r="B145" s="537"/>
      <c r="C145" s="600" t="s">
        <v>550</v>
      </c>
      <c r="D145" s="601"/>
      <c r="E145" s="532">
        <f t="shared" si="5"/>
        <v>1000</v>
      </c>
      <c r="F145" s="540">
        <v>150</v>
      </c>
      <c r="G145" s="540">
        <v>64</v>
      </c>
      <c r="H145" s="540">
        <v>786</v>
      </c>
      <c r="I145" s="540"/>
      <c r="J145" s="540"/>
      <c r="K145" s="540"/>
      <c r="L145" s="540"/>
      <c r="M145" s="541"/>
      <c r="N145" s="542"/>
      <c r="O145" s="544"/>
      <c r="P145" s="544"/>
      <c r="Q145" s="544"/>
      <c r="R145" s="544"/>
      <c r="S145" s="544"/>
      <c r="T145" s="544"/>
      <c r="U145" s="544"/>
    </row>
    <row r="146" spans="1:21" s="543" customFormat="1" ht="15" customHeight="1">
      <c r="A146" s="538"/>
      <c r="B146" s="537"/>
      <c r="C146" s="600" t="s">
        <v>535</v>
      </c>
      <c r="D146" s="601"/>
      <c r="E146" s="532">
        <f t="shared" si="5"/>
        <v>881</v>
      </c>
      <c r="F146" s="540">
        <v>150</v>
      </c>
      <c r="G146" s="540">
        <v>64</v>
      </c>
      <c r="H146" s="540">
        <v>667</v>
      </c>
      <c r="I146" s="540"/>
      <c r="J146" s="540"/>
      <c r="K146" s="540"/>
      <c r="L146" s="540"/>
      <c r="M146" s="541"/>
      <c r="N146" s="542"/>
      <c r="O146" s="544"/>
      <c r="P146" s="544"/>
      <c r="Q146" s="544"/>
      <c r="R146" s="544"/>
      <c r="S146" s="544"/>
      <c r="T146" s="544"/>
      <c r="U146" s="544"/>
    </row>
    <row r="147" spans="1:21" s="543" customFormat="1" ht="15" customHeight="1">
      <c r="A147" s="538">
        <v>860000</v>
      </c>
      <c r="B147" s="537" t="s">
        <v>124</v>
      </c>
      <c r="C147" s="602" t="s">
        <v>754</v>
      </c>
      <c r="D147" s="601"/>
      <c r="E147" s="532">
        <f t="shared" si="5"/>
        <v>900</v>
      </c>
      <c r="F147" s="540"/>
      <c r="G147" s="540"/>
      <c r="H147" s="540">
        <v>400</v>
      </c>
      <c r="I147" s="540"/>
      <c r="J147" s="540"/>
      <c r="K147" s="540"/>
      <c r="L147" s="540">
        <v>500</v>
      </c>
      <c r="M147" s="541"/>
      <c r="N147" s="542"/>
      <c r="O147" s="544"/>
      <c r="P147" s="544"/>
      <c r="Q147" s="544"/>
      <c r="R147" s="544"/>
      <c r="S147" s="544"/>
      <c r="T147" s="544"/>
      <c r="U147" s="544"/>
    </row>
    <row r="148" spans="1:21" s="543" customFormat="1" ht="15" customHeight="1">
      <c r="A148" s="538"/>
      <c r="B148" s="537"/>
      <c r="C148" s="600" t="s">
        <v>550</v>
      </c>
      <c r="D148" s="601"/>
      <c r="E148" s="532">
        <f t="shared" si="5"/>
        <v>1410</v>
      </c>
      <c r="F148" s="540">
        <v>390</v>
      </c>
      <c r="G148" s="540">
        <v>10</v>
      </c>
      <c r="H148" s="540">
        <v>510</v>
      </c>
      <c r="I148" s="540"/>
      <c r="J148" s="540"/>
      <c r="K148" s="540"/>
      <c r="L148" s="540">
        <v>500</v>
      </c>
      <c r="M148" s="541"/>
      <c r="N148" s="542"/>
      <c r="O148" s="544"/>
      <c r="P148" s="544"/>
      <c r="Q148" s="544"/>
      <c r="R148" s="544"/>
      <c r="S148" s="544"/>
      <c r="T148" s="544"/>
      <c r="U148" s="544"/>
    </row>
    <row r="149" spans="1:21" s="543" customFormat="1" ht="15" customHeight="1">
      <c r="A149" s="538"/>
      <c r="B149" s="537"/>
      <c r="C149" s="600" t="s">
        <v>535</v>
      </c>
      <c r="D149" s="601"/>
      <c r="E149" s="532">
        <f t="shared" si="5"/>
        <v>928</v>
      </c>
      <c r="F149" s="540">
        <v>320</v>
      </c>
      <c r="G149" s="540"/>
      <c r="H149" s="540">
        <v>108</v>
      </c>
      <c r="I149" s="540"/>
      <c r="J149" s="540"/>
      <c r="K149" s="540"/>
      <c r="L149" s="540">
        <v>500</v>
      </c>
      <c r="M149" s="541"/>
      <c r="N149" s="542"/>
      <c r="O149" s="544"/>
      <c r="P149" s="544"/>
      <c r="Q149" s="544"/>
      <c r="R149" s="544"/>
      <c r="S149" s="544"/>
      <c r="T149" s="544"/>
      <c r="U149" s="544"/>
    </row>
    <row r="150" spans="1:21" s="543" customFormat="1" ht="15" customHeight="1">
      <c r="A150" s="538">
        <v>862000</v>
      </c>
      <c r="B150" s="537" t="s">
        <v>125</v>
      </c>
      <c r="C150" s="602" t="s">
        <v>754</v>
      </c>
      <c r="D150" s="601"/>
      <c r="E150" s="532">
        <f t="shared" si="5"/>
        <v>6100</v>
      </c>
      <c r="F150" s="540"/>
      <c r="G150" s="540"/>
      <c r="H150" s="540"/>
      <c r="I150" s="540">
        <v>6100</v>
      </c>
      <c r="J150" s="540"/>
      <c r="K150" s="540"/>
      <c r="L150" s="540"/>
      <c r="M150" s="540"/>
      <c r="N150" s="542"/>
      <c r="O150" s="544"/>
      <c r="P150" s="544"/>
      <c r="Q150" s="544"/>
      <c r="R150" s="544"/>
      <c r="S150" s="544"/>
      <c r="T150" s="544"/>
      <c r="U150" s="544"/>
    </row>
    <row r="151" spans="1:21" s="543" customFormat="1" ht="15" customHeight="1">
      <c r="A151" s="538"/>
      <c r="B151" s="537"/>
      <c r="C151" s="600" t="s">
        <v>550</v>
      </c>
      <c r="D151" s="601">
        <v>3286</v>
      </c>
      <c r="E151" s="532">
        <f t="shared" si="5"/>
        <v>10328</v>
      </c>
      <c r="F151" s="540"/>
      <c r="G151" s="540"/>
      <c r="H151" s="540"/>
      <c r="I151" s="540">
        <v>10328</v>
      </c>
      <c r="J151" s="540"/>
      <c r="K151" s="540"/>
      <c r="L151" s="540"/>
      <c r="M151" s="540"/>
      <c r="N151" s="542"/>
      <c r="O151" s="544"/>
      <c r="P151" s="544"/>
      <c r="Q151" s="544"/>
      <c r="R151" s="544"/>
      <c r="S151" s="544"/>
      <c r="T151" s="544"/>
      <c r="U151" s="544"/>
    </row>
    <row r="152" spans="1:21" s="543" customFormat="1" ht="15" customHeight="1">
      <c r="A152" s="538"/>
      <c r="B152" s="537"/>
      <c r="C152" s="600" t="s">
        <v>535</v>
      </c>
      <c r="D152" s="601">
        <v>3290</v>
      </c>
      <c r="E152" s="532">
        <f t="shared" si="5"/>
        <v>9526</v>
      </c>
      <c r="F152" s="540"/>
      <c r="G152" s="540"/>
      <c r="H152" s="540"/>
      <c r="I152" s="540">
        <v>9526</v>
      </c>
      <c r="J152" s="540"/>
      <c r="K152" s="540"/>
      <c r="L152" s="540"/>
      <c r="M152" s="540"/>
      <c r="N152" s="542"/>
      <c r="O152" s="544"/>
      <c r="P152" s="544"/>
      <c r="Q152" s="544"/>
      <c r="R152" s="544"/>
      <c r="S152" s="544"/>
      <c r="T152" s="544"/>
      <c r="U152" s="544"/>
    </row>
    <row r="153" spans="1:21" s="543" customFormat="1" ht="15" customHeight="1">
      <c r="A153" s="538">
        <v>870000</v>
      </c>
      <c r="B153" s="537" t="s">
        <v>126</v>
      </c>
      <c r="C153" s="602" t="s">
        <v>754</v>
      </c>
      <c r="D153" s="601"/>
      <c r="E153" s="532">
        <f t="shared" si="5"/>
        <v>8750</v>
      </c>
      <c r="F153" s="540"/>
      <c r="G153" s="540"/>
      <c r="H153" s="540"/>
      <c r="I153" s="540">
        <v>8750</v>
      </c>
      <c r="J153" s="540"/>
      <c r="K153" s="540"/>
      <c r="L153" s="540"/>
      <c r="M153" s="540"/>
      <c r="N153" s="542"/>
      <c r="O153" s="544"/>
      <c r="P153" s="544"/>
      <c r="Q153" s="544"/>
      <c r="R153" s="544"/>
      <c r="S153" s="544"/>
      <c r="T153" s="544"/>
      <c r="U153" s="544"/>
    </row>
    <row r="154" spans="1:21" s="543" customFormat="1" ht="15" customHeight="1">
      <c r="A154" s="538"/>
      <c r="B154" s="537"/>
      <c r="C154" s="600" t="s">
        <v>550</v>
      </c>
      <c r="D154" s="601"/>
      <c r="E154" s="532">
        <f t="shared" si="5"/>
        <v>9370</v>
      </c>
      <c r="F154" s="540"/>
      <c r="G154" s="540"/>
      <c r="H154" s="540"/>
      <c r="I154" s="540">
        <v>8750</v>
      </c>
      <c r="J154" s="540"/>
      <c r="K154" s="540">
        <v>620</v>
      </c>
      <c r="L154" s="540"/>
      <c r="M154" s="540"/>
      <c r="N154" s="542"/>
      <c r="O154" s="544"/>
      <c r="P154" s="544"/>
      <c r="Q154" s="544"/>
      <c r="R154" s="544"/>
      <c r="S154" s="544"/>
      <c r="T154" s="544"/>
      <c r="U154" s="544"/>
    </row>
    <row r="155" spans="1:21" s="543" customFormat="1" ht="15" customHeight="1">
      <c r="A155" s="538"/>
      <c r="B155" s="537"/>
      <c r="C155" s="600" t="s">
        <v>535</v>
      </c>
      <c r="D155" s="601"/>
      <c r="E155" s="532">
        <f t="shared" si="5"/>
        <v>9369</v>
      </c>
      <c r="F155" s="540"/>
      <c r="G155" s="540"/>
      <c r="H155" s="540"/>
      <c r="I155" s="540">
        <v>8750</v>
      </c>
      <c r="J155" s="540"/>
      <c r="K155" s="540">
        <v>619</v>
      </c>
      <c r="L155" s="540"/>
      <c r="M155" s="540"/>
      <c r="N155" s="542"/>
      <c r="O155" s="544"/>
      <c r="P155" s="544"/>
      <c r="Q155" s="544"/>
      <c r="R155" s="544"/>
      <c r="S155" s="544"/>
      <c r="T155" s="544"/>
      <c r="U155" s="544"/>
    </row>
    <row r="156" spans="1:21" s="543" customFormat="1" ht="15" customHeight="1">
      <c r="A156" s="538">
        <v>880000</v>
      </c>
      <c r="B156" s="537" t="s">
        <v>127</v>
      </c>
      <c r="C156" s="602" t="s">
        <v>754</v>
      </c>
      <c r="D156" s="601"/>
      <c r="E156" s="532">
        <f t="shared" si="5"/>
        <v>38320</v>
      </c>
      <c r="F156" s="540"/>
      <c r="G156" s="540"/>
      <c r="H156" s="540"/>
      <c r="I156" s="540">
        <v>10320</v>
      </c>
      <c r="J156" s="540">
        <v>28000</v>
      </c>
      <c r="K156" s="540"/>
      <c r="L156" s="540"/>
      <c r="M156" s="541"/>
      <c r="N156" s="542"/>
      <c r="O156" s="544"/>
      <c r="P156" s="544"/>
      <c r="Q156" s="544"/>
      <c r="R156" s="544"/>
      <c r="S156" s="544"/>
      <c r="T156" s="544"/>
      <c r="U156" s="544"/>
    </row>
    <row r="157" spans="1:21" s="543" customFormat="1" ht="15" customHeight="1">
      <c r="A157" s="538"/>
      <c r="B157" s="537"/>
      <c r="C157" s="600" t="s">
        <v>550</v>
      </c>
      <c r="D157" s="601"/>
      <c r="E157" s="532">
        <f t="shared" si="5"/>
        <v>37924</v>
      </c>
      <c r="F157" s="540">
        <v>158</v>
      </c>
      <c r="G157" s="540">
        <v>81</v>
      </c>
      <c r="H157" s="540">
        <v>140</v>
      </c>
      <c r="I157" s="540">
        <v>9545</v>
      </c>
      <c r="J157" s="540">
        <v>28000</v>
      </c>
      <c r="K157" s="540"/>
      <c r="L157" s="540"/>
      <c r="M157" s="541"/>
      <c r="N157" s="542"/>
      <c r="O157" s="544"/>
      <c r="P157" s="544"/>
      <c r="Q157" s="544"/>
      <c r="R157" s="544"/>
      <c r="S157" s="544"/>
      <c r="T157" s="544"/>
      <c r="U157" s="544"/>
    </row>
    <row r="158" spans="1:21" s="543" customFormat="1" ht="15" customHeight="1">
      <c r="A158" s="538"/>
      <c r="B158" s="537"/>
      <c r="C158" s="600" t="s">
        <v>535</v>
      </c>
      <c r="D158" s="601"/>
      <c r="E158" s="532">
        <f t="shared" si="5"/>
        <v>37438</v>
      </c>
      <c r="F158" s="540"/>
      <c r="G158" s="540"/>
      <c r="H158" s="540">
        <v>70</v>
      </c>
      <c r="I158" s="540">
        <v>9545</v>
      </c>
      <c r="J158" s="540">
        <v>27823</v>
      </c>
      <c r="K158" s="540"/>
      <c r="L158" s="540"/>
      <c r="M158" s="541"/>
      <c r="N158" s="542"/>
      <c r="O158" s="544"/>
      <c r="P158" s="544"/>
      <c r="Q158" s="544"/>
      <c r="R158" s="544"/>
      <c r="S158" s="544"/>
      <c r="T158" s="544"/>
      <c r="U158" s="544"/>
    </row>
    <row r="159" spans="1:21" s="543" customFormat="1" ht="15" customHeight="1">
      <c r="A159" s="538">
        <v>882111</v>
      </c>
      <c r="B159" s="537" t="s">
        <v>59</v>
      </c>
      <c r="C159" s="602" t="s">
        <v>754</v>
      </c>
      <c r="D159" s="601">
        <v>61600</v>
      </c>
      <c r="E159" s="532">
        <f t="shared" si="5"/>
        <v>74000</v>
      </c>
      <c r="F159" s="540"/>
      <c r="G159" s="540"/>
      <c r="H159" s="540"/>
      <c r="I159" s="540"/>
      <c r="J159" s="540">
        <v>74000</v>
      </c>
      <c r="K159" s="540"/>
      <c r="L159" s="540"/>
      <c r="M159" s="541"/>
      <c r="N159" s="542"/>
      <c r="O159" s="544"/>
      <c r="P159" s="544"/>
      <c r="Q159" s="544"/>
      <c r="R159" s="544"/>
      <c r="S159" s="544"/>
      <c r="T159" s="544"/>
      <c r="U159" s="544"/>
    </row>
    <row r="160" spans="1:14" s="544" customFormat="1" ht="15" customHeight="1">
      <c r="A160" s="538"/>
      <c r="B160" s="537"/>
      <c r="C160" s="600" t="s">
        <v>550</v>
      </c>
      <c r="D160" s="601">
        <v>45991</v>
      </c>
      <c r="E160" s="532"/>
      <c r="F160" s="540"/>
      <c r="G160" s="540"/>
      <c r="H160" s="540"/>
      <c r="I160" s="540"/>
      <c r="J160" s="540"/>
      <c r="K160" s="540"/>
      <c r="L160" s="540"/>
      <c r="M160" s="541"/>
      <c r="N160" s="542"/>
    </row>
    <row r="161" spans="1:14" s="544" customFormat="1" ht="15" customHeight="1">
      <c r="A161" s="538"/>
      <c r="B161" s="537"/>
      <c r="C161" s="600" t="s">
        <v>535</v>
      </c>
      <c r="D161" s="601">
        <v>45991</v>
      </c>
      <c r="E161" s="532"/>
      <c r="F161" s="540"/>
      <c r="G161" s="540"/>
      <c r="H161" s="540"/>
      <c r="I161" s="540"/>
      <c r="J161" s="540"/>
      <c r="K161" s="540"/>
      <c r="L161" s="540"/>
      <c r="M161" s="541"/>
      <c r="N161" s="542"/>
    </row>
    <row r="162" spans="1:21" s="543" customFormat="1" ht="15" customHeight="1">
      <c r="A162" s="538">
        <v>882112</v>
      </c>
      <c r="B162" s="537" t="s">
        <v>60</v>
      </c>
      <c r="C162" s="602" t="s">
        <v>754</v>
      </c>
      <c r="D162" s="601">
        <v>1170</v>
      </c>
      <c r="E162" s="532">
        <f>SUM(F162:N162)</f>
        <v>1300</v>
      </c>
      <c r="F162" s="540"/>
      <c r="G162" s="540"/>
      <c r="H162" s="540"/>
      <c r="I162" s="540"/>
      <c r="J162" s="540">
        <v>1300</v>
      </c>
      <c r="K162" s="540"/>
      <c r="L162" s="540"/>
      <c r="M162" s="540"/>
      <c r="N162" s="542"/>
      <c r="O162" s="544"/>
      <c r="P162" s="544"/>
      <c r="Q162" s="544"/>
      <c r="R162" s="544"/>
      <c r="S162" s="544"/>
      <c r="T162" s="544"/>
      <c r="U162" s="544"/>
    </row>
    <row r="163" spans="1:14" s="544" customFormat="1" ht="15" customHeight="1">
      <c r="A163" s="538"/>
      <c r="B163" s="537"/>
      <c r="C163" s="600" t="s">
        <v>550</v>
      </c>
      <c r="D163" s="601">
        <v>627</v>
      </c>
      <c r="E163" s="532"/>
      <c r="F163" s="540"/>
      <c r="G163" s="540"/>
      <c r="H163" s="540"/>
      <c r="I163" s="540"/>
      <c r="J163" s="540"/>
      <c r="K163" s="540"/>
      <c r="L163" s="540"/>
      <c r="M163" s="540"/>
      <c r="N163" s="542"/>
    </row>
    <row r="164" spans="1:14" s="544" customFormat="1" ht="15" customHeight="1">
      <c r="A164" s="538"/>
      <c r="B164" s="537"/>
      <c r="C164" s="600" t="s">
        <v>535</v>
      </c>
      <c r="D164" s="601">
        <v>627</v>
      </c>
      <c r="E164" s="532"/>
      <c r="F164" s="540"/>
      <c r="G164" s="540"/>
      <c r="H164" s="540"/>
      <c r="I164" s="540"/>
      <c r="J164" s="540"/>
      <c r="K164" s="540"/>
      <c r="L164" s="540"/>
      <c r="M164" s="540"/>
      <c r="N164" s="542"/>
    </row>
    <row r="165" spans="1:21" s="543" customFormat="1" ht="15" customHeight="1">
      <c r="A165" s="538">
        <v>882113</v>
      </c>
      <c r="B165" s="537" t="s">
        <v>61</v>
      </c>
      <c r="C165" s="602" t="s">
        <v>754</v>
      </c>
      <c r="D165" s="601">
        <v>15120</v>
      </c>
      <c r="E165" s="532">
        <f>SUM(F165:N165)</f>
        <v>16800</v>
      </c>
      <c r="F165" s="540"/>
      <c r="G165" s="540"/>
      <c r="H165" s="540"/>
      <c r="I165" s="540"/>
      <c r="J165" s="540">
        <v>16800</v>
      </c>
      <c r="K165" s="540"/>
      <c r="L165" s="540"/>
      <c r="M165" s="540"/>
      <c r="N165" s="542"/>
      <c r="O165" s="544"/>
      <c r="P165" s="544"/>
      <c r="Q165" s="544"/>
      <c r="R165" s="544"/>
      <c r="S165" s="544"/>
      <c r="T165" s="544"/>
      <c r="U165" s="544"/>
    </row>
    <row r="166" spans="1:21" s="543" customFormat="1" ht="15" customHeight="1">
      <c r="A166" s="538"/>
      <c r="B166" s="537"/>
      <c r="C166" s="600" t="s">
        <v>550</v>
      </c>
      <c r="D166" s="601">
        <v>17921</v>
      </c>
      <c r="E166" s="532"/>
      <c r="F166" s="540"/>
      <c r="G166" s="540"/>
      <c r="H166" s="540"/>
      <c r="I166" s="540"/>
      <c r="J166" s="540"/>
      <c r="K166" s="540"/>
      <c r="L166" s="540"/>
      <c r="M166" s="540"/>
      <c r="N166" s="542"/>
      <c r="O166" s="544"/>
      <c r="P166" s="544"/>
      <c r="Q166" s="544"/>
      <c r="R166" s="544"/>
      <c r="S166" s="544"/>
      <c r="T166" s="544"/>
      <c r="U166" s="544"/>
    </row>
    <row r="167" spans="1:21" s="543" customFormat="1" ht="15" customHeight="1">
      <c r="A167" s="538"/>
      <c r="B167" s="537"/>
      <c r="C167" s="600" t="s">
        <v>535</v>
      </c>
      <c r="D167" s="601">
        <v>17921</v>
      </c>
      <c r="E167" s="532"/>
      <c r="F167" s="540"/>
      <c r="G167" s="540"/>
      <c r="H167" s="540"/>
      <c r="I167" s="540"/>
      <c r="J167" s="540"/>
      <c r="K167" s="540"/>
      <c r="L167" s="540"/>
      <c r="M167" s="540"/>
      <c r="N167" s="542"/>
      <c r="O167" s="544"/>
      <c r="P167" s="544"/>
      <c r="Q167" s="544"/>
      <c r="R167" s="544"/>
      <c r="S167" s="544"/>
      <c r="T167" s="544"/>
      <c r="U167" s="544"/>
    </row>
    <row r="168" spans="1:21" s="543" customFormat="1" ht="15" customHeight="1">
      <c r="A168" s="538">
        <v>882114</v>
      </c>
      <c r="B168" s="537" t="s">
        <v>128</v>
      </c>
      <c r="C168" s="602" t="s">
        <v>754</v>
      </c>
      <c r="D168" s="601"/>
      <c r="E168" s="532">
        <f>SUM(F168:N168)</f>
        <v>1500</v>
      </c>
      <c r="F168" s="540"/>
      <c r="G168" s="540"/>
      <c r="H168" s="540"/>
      <c r="I168" s="540"/>
      <c r="J168" s="540">
        <v>1500</v>
      </c>
      <c r="K168" s="540"/>
      <c r="L168" s="540"/>
      <c r="M168" s="540"/>
      <c r="N168" s="542"/>
      <c r="O168" s="544"/>
      <c r="P168" s="544"/>
      <c r="Q168" s="544"/>
      <c r="R168" s="544"/>
      <c r="S168" s="544"/>
      <c r="T168" s="544"/>
      <c r="U168" s="544"/>
    </row>
    <row r="169" spans="1:21" s="543" customFormat="1" ht="15" customHeight="1">
      <c r="A169" s="538"/>
      <c r="B169" s="537"/>
      <c r="C169" s="600" t="s">
        <v>550</v>
      </c>
      <c r="D169" s="601"/>
      <c r="E169" s="532">
        <f>SUM(F169:N169)</f>
        <v>5500</v>
      </c>
      <c r="F169" s="540"/>
      <c r="G169" s="540"/>
      <c r="H169" s="540"/>
      <c r="I169" s="540"/>
      <c r="J169" s="540">
        <v>5500</v>
      </c>
      <c r="K169" s="540"/>
      <c r="L169" s="540"/>
      <c r="M169" s="540"/>
      <c r="N169" s="542"/>
      <c r="O169" s="544"/>
      <c r="P169" s="544"/>
      <c r="Q169" s="544"/>
      <c r="R169" s="544"/>
      <c r="S169" s="544"/>
      <c r="T169" s="544"/>
      <c r="U169" s="544"/>
    </row>
    <row r="170" spans="1:21" s="543" customFormat="1" ht="15" customHeight="1">
      <c r="A170" s="538"/>
      <c r="B170" s="537"/>
      <c r="C170" s="600" t="s">
        <v>535</v>
      </c>
      <c r="D170" s="601"/>
      <c r="E170" s="532">
        <f>SUM(F170:N170)</f>
        <v>875</v>
      </c>
      <c r="F170" s="540"/>
      <c r="G170" s="540"/>
      <c r="H170" s="540"/>
      <c r="I170" s="540"/>
      <c r="J170" s="540">
        <v>875</v>
      </c>
      <c r="K170" s="540"/>
      <c r="L170" s="540"/>
      <c r="M170" s="540"/>
      <c r="N170" s="542"/>
      <c r="O170" s="544"/>
      <c r="P170" s="544"/>
      <c r="Q170" s="544"/>
      <c r="R170" s="544"/>
      <c r="S170" s="544"/>
      <c r="T170" s="544"/>
      <c r="U170" s="544"/>
    </row>
    <row r="171" spans="1:21" s="543" customFormat="1" ht="15" customHeight="1">
      <c r="A171" s="538">
        <v>882115</v>
      </c>
      <c r="B171" s="537" t="s">
        <v>62</v>
      </c>
      <c r="C171" s="602" t="s">
        <v>754</v>
      </c>
      <c r="D171" s="601">
        <v>26970</v>
      </c>
      <c r="E171" s="532">
        <f>SUM(F171:N171)</f>
        <v>35960</v>
      </c>
      <c r="F171" s="540"/>
      <c r="G171" s="540">
        <v>6960</v>
      </c>
      <c r="H171" s="540"/>
      <c r="I171" s="540"/>
      <c r="J171" s="540">
        <v>29000</v>
      </c>
      <c r="K171" s="540"/>
      <c r="L171" s="540"/>
      <c r="M171" s="540"/>
      <c r="N171" s="542"/>
      <c r="O171" s="544"/>
      <c r="P171" s="544"/>
      <c r="Q171" s="544"/>
      <c r="R171" s="544"/>
      <c r="S171" s="544"/>
      <c r="T171" s="544"/>
      <c r="U171" s="544"/>
    </row>
    <row r="172" spans="1:21" s="543" customFormat="1" ht="15" customHeight="1">
      <c r="A172" s="538"/>
      <c r="B172" s="537"/>
      <c r="C172" s="600" t="s">
        <v>550</v>
      </c>
      <c r="D172" s="601">
        <v>17305</v>
      </c>
      <c r="E172" s="532"/>
      <c r="F172" s="540"/>
      <c r="G172" s="540"/>
      <c r="H172" s="540"/>
      <c r="I172" s="540"/>
      <c r="J172" s="540"/>
      <c r="K172" s="540"/>
      <c r="L172" s="540"/>
      <c r="M172" s="540"/>
      <c r="N172" s="542"/>
      <c r="O172" s="544"/>
      <c r="P172" s="544"/>
      <c r="Q172" s="544"/>
      <c r="R172" s="544"/>
      <c r="S172" s="544"/>
      <c r="T172" s="544"/>
      <c r="U172" s="544"/>
    </row>
    <row r="173" spans="1:21" s="543" customFormat="1" ht="15" customHeight="1">
      <c r="A173" s="538"/>
      <c r="B173" s="537"/>
      <c r="C173" s="600" t="s">
        <v>535</v>
      </c>
      <c r="D173" s="601">
        <v>17304</v>
      </c>
      <c r="E173" s="532"/>
      <c r="F173" s="540"/>
      <c r="G173" s="540"/>
      <c r="H173" s="540"/>
      <c r="I173" s="540"/>
      <c r="J173" s="540"/>
      <c r="K173" s="540"/>
      <c r="L173" s="540"/>
      <c r="M173" s="540"/>
      <c r="N173" s="542"/>
      <c r="O173" s="544"/>
      <c r="P173" s="544"/>
      <c r="Q173" s="544"/>
      <c r="R173" s="544"/>
      <c r="S173" s="544"/>
      <c r="T173" s="544"/>
      <c r="U173" s="544"/>
    </row>
    <row r="174" spans="1:21" s="543" customFormat="1" ht="15" customHeight="1">
      <c r="A174" s="538">
        <v>882116</v>
      </c>
      <c r="B174" s="537" t="s">
        <v>129</v>
      </c>
      <c r="C174" s="602" t="s">
        <v>754</v>
      </c>
      <c r="D174" s="601"/>
      <c r="E174" s="532">
        <f>SUM(F174:N174)</f>
        <v>2108</v>
      </c>
      <c r="F174" s="540"/>
      <c r="G174" s="540">
        <v>408</v>
      </c>
      <c r="H174" s="540"/>
      <c r="I174" s="540"/>
      <c r="J174" s="540">
        <v>1700</v>
      </c>
      <c r="K174" s="540"/>
      <c r="L174" s="540"/>
      <c r="M174" s="540"/>
      <c r="N174" s="542"/>
      <c r="O174" s="544"/>
      <c r="P174" s="544"/>
      <c r="Q174" s="544"/>
      <c r="R174" s="544"/>
      <c r="S174" s="544"/>
      <c r="T174" s="544"/>
      <c r="U174" s="544"/>
    </row>
    <row r="175" spans="1:21" s="543" customFormat="1" ht="15" customHeight="1">
      <c r="A175" s="538"/>
      <c r="B175" s="537"/>
      <c r="C175" s="600" t="s">
        <v>550</v>
      </c>
      <c r="D175" s="601"/>
      <c r="E175" s="532">
        <f>SUM(F175:N175)</f>
        <v>2218</v>
      </c>
      <c r="F175" s="540"/>
      <c r="G175" s="540">
        <v>408</v>
      </c>
      <c r="H175" s="540"/>
      <c r="I175" s="540"/>
      <c r="J175" s="540">
        <v>1810</v>
      </c>
      <c r="K175" s="540"/>
      <c r="L175" s="540"/>
      <c r="M175" s="540"/>
      <c r="N175" s="542"/>
      <c r="O175" s="544"/>
      <c r="P175" s="544"/>
      <c r="Q175" s="544"/>
      <c r="R175" s="544"/>
      <c r="S175" s="544"/>
      <c r="T175" s="544"/>
      <c r="U175" s="544"/>
    </row>
    <row r="176" spans="1:21" s="543" customFormat="1" ht="15" customHeight="1">
      <c r="A176" s="538"/>
      <c r="B176" s="537"/>
      <c r="C176" s="600" t="s">
        <v>535</v>
      </c>
      <c r="D176" s="601"/>
      <c r="E176" s="532">
        <f>SUM(F176:N176)</f>
        <v>1961</v>
      </c>
      <c r="F176" s="540"/>
      <c r="G176" s="540">
        <v>51</v>
      </c>
      <c r="H176" s="540">
        <v>105</v>
      </c>
      <c r="I176" s="540"/>
      <c r="J176" s="540">
        <v>1805</v>
      </c>
      <c r="K176" s="540"/>
      <c r="L176" s="540"/>
      <c r="M176" s="540"/>
      <c r="N176" s="542"/>
      <c r="O176" s="544"/>
      <c r="P176" s="544"/>
      <c r="Q176" s="544"/>
      <c r="R176" s="544"/>
      <c r="S176" s="544"/>
      <c r="T176" s="544"/>
      <c r="U176" s="544"/>
    </row>
    <row r="177" spans="1:21" s="543" customFormat="1" ht="15" customHeight="1">
      <c r="A177" s="538">
        <v>882117</v>
      </c>
      <c r="B177" s="537" t="s">
        <v>63</v>
      </c>
      <c r="C177" s="602" t="s">
        <v>754</v>
      </c>
      <c r="D177" s="601">
        <v>8500</v>
      </c>
      <c r="E177" s="532">
        <f>SUM(F177:N177)</f>
        <v>8500</v>
      </c>
      <c r="F177" s="540"/>
      <c r="G177" s="540"/>
      <c r="H177" s="540"/>
      <c r="I177" s="540"/>
      <c r="J177" s="540">
        <v>8500</v>
      </c>
      <c r="K177" s="540"/>
      <c r="L177" s="540"/>
      <c r="M177" s="540"/>
      <c r="N177" s="542"/>
      <c r="O177" s="544"/>
      <c r="P177" s="544"/>
      <c r="Q177" s="544"/>
      <c r="R177" s="544"/>
      <c r="S177" s="544"/>
      <c r="T177" s="544"/>
      <c r="U177" s="544"/>
    </row>
    <row r="178" spans="1:21" s="543" customFormat="1" ht="15" customHeight="1">
      <c r="A178" s="538"/>
      <c r="B178" s="537"/>
      <c r="C178" s="600" t="s">
        <v>550</v>
      </c>
      <c r="D178" s="601">
        <v>8549</v>
      </c>
      <c r="E178" s="532"/>
      <c r="F178" s="540"/>
      <c r="G178" s="540"/>
      <c r="H178" s="540"/>
      <c r="I178" s="540"/>
      <c r="J178" s="540"/>
      <c r="K178" s="540"/>
      <c r="L178" s="540"/>
      <c r="M178" s="540"/>
      <c r="N178" s="542"/>
      <c r="O178" s="544"/>
      <c r="P178" s="544"/>
      <c r="Q178" s="544"/>
      <c r="R178" s="544"/>
      <c r="S178" s="544"/>
      <c r="T178" s="544"/>
      <c r="U178" s="544"/>
    </row>
    <row r="179" spans="1:21" s="543" customFormat="1" ht="15" customHeight="1">
      <c r="A179" s="538"/>
      <c r="B179" s="537"/>
      <c r="C179" s="600" t="s">
        <v>535</v>
      </c>
      <c r="D179" s="601">
        <v>8549</v>
      </c>
      <c r="E179" s="532"/>
      <c r="F179" s="540"/>
      <c r="G179" s="540"/>
      <c r="H179" s="540"/>
      <c r="I179" s="540"/>
      <c r="J179" s="540"/>
      <c r="K179" s="540"/>
      <c r="L179" s="540"/>
      <c r="M179" s="540"/>
      <c r="N179" s="542"/>
      <c r="O179" s="544"/>
      <c r="P179" s="544"/>
      <c r="Q179" s="544"/>
      <c r="R179" s="544"/>
      <c r="S179" s="544"/>
      <c r="T179" s="544"/>
      <c r="U179" s="544"/>
    </row>
    <row r="180" spans="1:21" s="543" customFormat="1" ht="15" customHeight="1">
      <c r="A180" s="538">
        <v>882119</v>
      </c>
      <c r="B180" s="537" t="s">
        <v>64</v>
      </c>
      <c r="C180" s="602" t="s">
        <v>754</v>
      </c>
      <c r="D180" s="601">
        <v>300</v>
      </c>
      <c r="E180" s="532">
        <f>SUM(F180:N180)</f>
        <v>300</v>
      </c>
      <c r="F180" s="540"/>
      <c r="G180" s="540"/>
      <c r="H180" s="540"/>
      <c r="I180" s="540"/>
      <c r="J180" s="540">
        <v>300</v>
      </c>
      <c r="K180" s="540"/>
      <c r="L180" s="540"/>
      <c r="M180" s="540"/>
      <c r="N180" s="542"/>
      <c r="O180" s="544"/>
      <c r="P180" s="544"/>
      <c r="Q180" s="544"/>
      <c r="R180" s="544"/>
      <c r="S180" s="544"/>
      <c r="T180" s="544"/>
      <c r="U180" s="544"/>
    </row>
    <row r="181" spans="1:21" s="543" customFormat="1" ht="15" customHeight="1">
      <c r="A181" s="538"/>
      <c r="B181" s="537"/>
      <c r="C181" s="600" t="s">
        <v>550</v>
      </c>
      <c r="D181" s="601">
        <v>10</v>
      </c>
      <c r="E181" s="532"/>
      <c r="F181" s="540"/>
      <c r="G181" s="540"/>
      <c r="H181" s="540"/>
      <c r="I181" s="540"/>
      <c r="J181" s="540"/>
      <c r="K181" s="540"/>
      <c r="L181" s="540"/>
      <c r="M181" s="540"/>
      <c r="N181" s="542"/>
      <c r="O181" s="544"/>
      <c r="P181" s="544"/>
      <c r="Q181" s="544"/>
      <c r="R181" s="544"/>
      <c r="S181" s="544"/>
      <c r="T181" s="544"/>
      <c r="U181" s="544"/>
    </row>
    <row r="182" spans="1:21" s="543" customFormat="1" ht="15" customHeight="1">
      <c r="A182" s="538"/>
      <c r="B182" s="537"/>
      <c r="C182" s="600" t="s">
        <v>535</v>
      </c>
      <c r="D182" s="601">
        <v>10</v>
      </c>
      <c r="E182" s="532"/>
      <c r="F182" s="540"/>
      <c r="G182" s="540"/>
      <c r="H182" s="540"/>
      <c r="I182" s="540"/>
      <c r="J182" s="540"/>
      <c r="K182" s="540"/>
      <c r="L182" s="540"/>
      <c r="M182" s="540"/>
      <c r="N182" s="542"/>
      <c r="O182" s="544"/>
      <c r="P182" s="544"/>
      <c r="Q182" s="544"/>
      <c r="R182" s="544"/>
      <c r="S182" s="544"/>
      <c r="T182" s="544"/>
      <c r="U182" s="544"/>
    </row>
    <row r="183" spans="1:21" s="543" customFormat="1" ht="15" customHeight="1">
      <c r="A183" s="538">
        <v>882122</v>
      </c>
      <c r="B183" s="537" t="s">
        <v>130</v>
      </c>
      <c r="C183" s="602" t="s">
        <v>754</v>
      </c>
      <c r="D183" s="601"/>
      <c r="E183" s="532">
        <f>SUM(F183:N183)</f>
        <v>16000</v>
      </c>
      <c r="F183" s="540"/>
      <c r="G183" s="540"/>
      <c r="H183" s="540"/>
      <c r="I183" s="540"/>
      <c r="J183" s="540">
        <v>16000</v>
      </c>
      <c r="K183" s="540"/>
      <c r="L183" s="540"/>
      <c r="M183" s="540"/>
      <c r="N183" s="542"/>
      <c r="O183" s="544"/>
      <c r="P183" s="544"/>
      <c r="Q183" s="544"/>
      <c r="R183" s="544"/>
      <c r="S183" s="544"/>
      <c r="T183" s="544"/>
      <c r="U183" s="544"/>
    </row>
    <row r="184" spans="1:21" s="543" customFormat="1" ht="15" customHeight="1">
      <c r="A184" s="538"/>
      <c r="B184" s="537"/>
      <c r="C184" s="600" t="s">
        <v>550</v>
      </c>
      <c r="D184" s="601"/>
      <c r="E184" s="532">
        <f>SUM(F184:N184)</f>
        <v>13500</v>
      </c>
      <c r="F184" s="540"/>
      <c r="G184" s="540"/>
      <c r="H184" s="540"/>
      <c r="I184" s="540"/>
      <c r="J184" s="540">
        <v>13500</v>
      </c>
      <c r="K184" s="540"/>
      <c r="L184" s="540"/>
      <c r="M184" s="540"/>
      <c r="N184" s="542"/>
      <c r="O184" s="544"/>
      <c r="P184" s="544"/>
      <c r="Q184" s="544"/>
      <c r="R184" s="544"/>
      <c r="S184" s="544"/>
      <c r="T184" s="544"/>
      <c r="U184" s="544"/>
    </row>
    <row r="185" spans="1:21" s="543" customFormat="1" ht="15" customHeight="1">
      <c r="A185" s="538"/>
      <c r="B185" s="537"/>
      <c r="C185" s="600" t="s">
        <v>535</v>
      </c>
      <c r="D185" s="601"/>
      <c r="E185" s="532">
        <f>SUM(F185:N185)</f>
        <v>12203</v>
      </c>
      <c r="F185" s="540"/>
      <c r="G185" s="540"/>
      <c r="H185" s="540"/>
      <c r="I185" s="540"/>
      <c r="J185" s="540">
        <v>12203</v>
      </c>
      <c r="K185" s="540"/>
      <c r="L185" s="540"/>
      <c r="M185" s="540"/>
      <c r="N185" s="542"/>
      <c r="O185" s="544"/>
      <c r="P185" s="544"/>
      <c r="Q185" s="544"/>
      <c r="R185" s="544"/>
      <c r="S185" s="544"/>
      <c r="T185" s="544"/>
      <c r="U185" s="544"/>
    </row>
    <row r="186" spans="1:21" s="543" customFormat="1" ht="15" customHeight="1">
      <c r="A186" s="538">
        <v>882123</v>
      </c>
      <c r="B186" s="537" t="s">
        <v>131</v>
      </c>
      <c r="C186" s="602" t="s">
        <v>754</v>
      </c>
      <c r="D186" s="601"/>
      <c r="E186" s="532">
        <f>SUM(F186:N186)</f>
        <v>2100</v>
      </c>
      <c r="F186" s="534"/>
      <c r="G186" s="534"/>
      <c r="H186" s="534"/>
      <c r="I186" s="534"/>
      <c r="J186" s="534">
        <v>2100</v>
      </c>
      <c r="K186" s="534"/>
      <c r="L186" s="534"/>
      <c r="M186" s="534"/>
      <c r="N186" s="535"/>
      <c r="O186" s="544"/>
      <c r="P186" s="544"/>
      <c r="Q186" s="544"/>
      <c r="R186" s="544"/>
      <c r="S186" s="544"/>
      <c r="T186" s="544"/>
      <c r="U186" s="544"/>
    </row>
    <row r="187" spans="1:21" s="543" customFormat="1" ht="15" customHeight="1">
      <c r="A187" s="538"/>
      <c r="B187" s="537"/>
      <c r="C187" s="600" t="s">
        <v>550</v>
      </c>
      <c r="D187" s="601"/>
      <c r="E187" s="532">
        <f>SUM(F187:N187)</f>
        <v>2100</v>
      </c>
      <c r="F187" s="534"/>
      <c r="G187" s="534"/>
      <c r="H187" s="534"/>
      <c r="I187" s="534"/>
      <c r="J187" s="534">
        <v>2100</v>
      </c>
      <c r="K187" s="534"/>
      <c r="L187" s="534"/>
      <c r="M187" s="534"/>
      <c r="N187" s="535"/>
      <c r="O187" s="544"/>
      <c r="P187" s="544"/>
      <c r="Q187" s="544"/>
      <c r="R187" s="544"/>
      <c r="S187" s="544"/>
      <c r="T187" s="544"/>
      <c r="U187" s="544"/>
    </row>
    <row r="188" spans="1:21" s="543" customFormat="1" ht="15" customHeight="1">
      <c r="A188" s="538"/>
      <c r="B188" s="537"/>
      <c r="C188" s="600" t="s">
        <v>535</v>
      </c>
      <c r="D188" s="601"/>
      <c r="E188" s="532">
        <v>1850</v>
      </c>
      <c r="F188" s="534"/>
      <c r="G188" s="534"/>
      <c r="H188" s="534"/>
      <c r="I188" s="534"/>
      <c r="J188" s="534">
        <v>1850</v>
      </c>
      <c r="K188" s="534"/>
      <c r="L188" s="534"/>
      <c r="M188" s="534"/>
      <c r="N188" s="535"/>
      <c r="O188" s="544"/>
      <c r="P188" s="544"/>
      <c r="Q188" s="544"/>
      <c r="R188" s="544"/>
      <c r="S188" s="544"/>
      <c r="T188" s="544"/>
      <c r="U188" s="544"/>
    </row>
    <row r="189" spans="1:21" s="543" customFormat="1" ht="15" customHeight="1">
      <c r="A189" s="538">
        <v>882124</v>
      </c>
      <c r="B189" s="537" t="s">
        <v>132</v>
      </c>
      <c r="C189" s="602" t="s">
        <v>754</v>
      </c>
      <c r="D189" s="601"/>
      <c r="E189" s="532">
        <f>SUM(F189:N189)</f>
        <v>4000</v>
      </c>
      <c r="F189" s="534"/>
      <c r="G189" s="534"/>
      <c r="H189" s="534"/>
      <c r="I189" s="534"/>
      <c r="J189" s="534">
        <v>4000</v>
      </c>
      <c r="K189" s="534"/>
      <c r="L189" s="534"/>
      <c r="M189" s="534"/>
      <c r="N189" s="535"/>
      <c r="O189" s="544"/>
      <c r="P189" s="544"/>
      <c r="Q189" s="544"/>
      <c r="R189" s="544"/>
      <c r="S189" s="544"/>
      <c r="T189" s="544"/>
      <c r="U189" s="544"/>
    </row>
    <row r="190" spans="1:21" s="543" customFormat="1" ht="15" customHeight="1">
      <c r="A190" s="538"/>
      <c r="B190" s="537"/>
      <c r="C190" s="600" t="s">
        <v>550</v>
      </c>
      <c r="D190" s="601"/>
      <c r="E190" s="532">
        <f>SUM(F190:N190)</f>
        <v>6000</v>
      </c>
      <c r="F190" s="534"/>
      <c r="G190" s="534"/>
      <c r="H190" s="534"/>
      <c r="I190" s="534"/>
      <c r="J190" s="534">
        <v>6000</v>
      </c>
      <c r="K190" s="534"/>
      <c r="L190" s="534"/>
      <c r="M190" s="534"/>
      <c r="N190" s="535"/>
      <c r="O190" s="544"/>
      <c r="P190" s="544"/>
      <c r="Q190" s="544"/>
      <c r="R190" s="544"/>
      <c r="S190" s="544"/>
      <c r="T190" s="544"/>
      <c r="U190" s="544"/>
    </row>
    <row r="191" spans="1:21" s="543" customFormat="1" ht="15" customHeight="1">
      <c r="A191" s="538"/>
      <c r="B191" s="537"/>
      <c r="C191" s="600" t="s">
        <v>535</v>
      </c>
      <c r="D191" s="601"/>
      <c r="E191" s="532">
        <v>4980</v>
      </c>
      <c r="F191" s="534"/>
      <c r="G191" s="534"/>
      <c r="H191" s="534"/>
      <c r="I191" s="534"/>
      <c r="J191" s="534">
        <v>4980</v>
      </c>
      <c r="K191" s="534"/>
      <c r="L191" s="534"/>
      <c r="M191" s="534"/>
      <c r="N191" s="535"/>
      <c r="O191" s="544"/>
      <c r="P191" s="544"/>
      <c r="Q191" s="544"/>
      <c r="R191" s="544"/>
      <c r="S191" s="544"/>
      <c r="T191" s="544"/>
      <c r="U191" s="544"/>
    </row>
    <row r="192" spans="1:21" s="543" customFormat="1" ht="15" customHeight="1">
      <c r="A192" s="538">
        <v>882129</v>
      </c>
      <c r="B192" s="537" t="s">
        <v>133</v>
      </c>
      <c r="C192" s="602" t="s">
        <v>754</v>
      </c>
      <c r="D192" s="601"/>
      <c r="E192" s="532">
        <f>SUM(F192:N192)</f>
        <v>4000</v>
      </c>
      <c r="F192" s="540"/>
      <c r="G192" s="540"/>
      <c r="H192" s="540"/>
      <c r="I192" s="540">
        <v>4000</v>
      </c>
      <c r="J192" s="540"/>
      <c r="K192" s="540"/>
      <c r="L192" s="540"/>
      <c r="M192" s="540"/>
      <c r="N192" s="542"/>
      <c r="O192" s="544"/>
      <c r="P192" s="544"/>
      <c r="Q192" s="544"/>
      <c r="R192" s="544"/>
      <c r="S192" s="544"/>
      <c r="T192" s="544"/>
      <c r="U192" s="544"/>
    </row>
    <row r="193" spans="1:21" s="543" customFormat="1" ht="15" customHeight="1">
      <c r="A193" s="538"/>
      <c r="B193" s="537"/>
      <c r="C193" s="600" t="s">
        <v>550</v>
      </c>
      <c r="D193" s="601"/>
      <c r="E193" s="532">
        <f>SUM(F193:N193)</f>
        <v>4000</v>
      </c>
      <c r="F193" s="540"/>
      <c r="G193" s="540"/>
      <c r="H193" s="540"/>
      <c r="I193" s="540">
        <v>4000</v>
      </c>
      <c r="J193" s="540"/>
      <c r="K193" s="540"/>
      <c r="L193" s="540"/>
      <c r="M193" s="540"/>
      <c r="N193" s="542"/>
      <c r="O193" s="544"/>
      <c r="P193" s="544"/>
      <c r="Q193" s="544"/>
      <c r="R193" s="544"/>
      <c r="S193" s="544"/>
      <c r="T193" s="544"/>
      <c r="U193" s="544"/>
    </row>
    <row r="194" spans="1:21" s="543" customFormat="1" ht="15" customHeight="1">
      <c r="A194" s="538"/>
      <c r="B194" s="537"/>
      <c r="C194" s="600" t="s">
        <v>535</v>
      </c>
      <c r="D194" s="601"/>
      <c r="E194" s="532">
        <f>SUM(F194:N194)</f>
        <v>3819</v>
      </c>
      <c r="F194" s="540"/>
      <c r="G194" s="540"/>
      <c r="H194" s="540">
        <v>41</v>
      </c>
      <c r="I194" s="540">
        <v>3600</v>
      </c>
      <c r="J194" s="540">
        <v>178</v>
      </c>
      <c r="K194" s="540"/>
      <c r="L194" s="540"/>
      <c r="M194" s="540"/>
      <c r="N194" s="542"/>
      <c r="O194" s="544"/>
      <c r="P194" s="544"/>
      <c r="Q194" s="544"/>
      <c r="R194" s="544"/>
      <c r="S194" s="544"/>
      <c r="T194" s="544"/>
      <c r="U194" s="544"/>
    </row>
    <row r="195" spans="1:21" s="543" customFormat="1" ht="15" customHeight="1">
      <c r="A195" s="538">
        <v>882129</v>
      </c>
      <c r="B195" s="537" t="s">
        <v>134</v>
      </c>
      <c r="C195" s="602" t="s">
        <v>754</v>
      </c>
      <c r="D195" s="601"/>
      <c r="E195" s="532">
        <f>SUM(F195:N195)</f>
        <v>150</v>
      </c>
      <c r="F195" s="540"/>
      <c r="G195" s="540"/>
      <c r="H195" s="540"/>
      <c r="I195" s="540"/>
      <c r="J195" s="540">
        <v>150</v>
      </c>
      <c r="K195" s="540"/>
      <c r="L195" s="540"/>
      <c r="M195" s="540"/>
      <c r="N195" s="542"/>
      <c r="O195" s="544"/>
      <c r="P195" s="544"/>
      <c r="Q195" s="544"/>
      <c r="R195" s="544"/>
      <c r="S195" s="544"/>
      <c r="T195" s="544"/>
      <c r="U195" s="544"/>
    </row>
    <row r="196" spans="1:21" s="543" customFormat="1" ht="15" customHeight="1">
      <c r="A196" s="538"/>
      <c r="B196" s="537"/>
      <c r="C196" s="600" t="s">
        <v>550</v>
      </c>
      <c r="D196" s="601"/>
      <c r="E196" s="532">
        <f>SUM(F196:N196)</f>
        <v>150</v>
      </c>
      <c r="F196" s="540"/>
      <c r="G196" s="540"/>
      <c r="H196" s="540"/>
      <c r="I196" s="540"/>
      <c r="J196" s="540">
        <v>150</v>
      </c>
      <c r="K196" s="540"/>
      <c r="L196" s="540"/>
      <c r="M196" s="540"/>
      <c r="N196" s="542"/>
      <c r="O196" s="544"/>
      <c r="P196" s="544"/>
      <c r="Q196" s="544"/>
      <c r="R196" s="544"/>
      <c r="S196" s="544"/>
      <c r="T196" s="544"/>
      <c r="U196" s="544"/>
    </row>
    <row r="197" spans="1:21" s="543" customFormat="1" ht="15" customHeight="1">
      <c r="A197" s="538"/>
      <c r="B197" s="537"/>
      <c r="C197" s="600" t="s">
        <v>535</v>
      </c>
      <c r="D197" s="601">
        <v>1088</v>
      </c>
      <c r="E197" s="532"/>
      <c r="F197" s="540"/>
      <c r="G197" s="540"/>
      <c r="H197" s="540"/>
      <c r="I197" s="540"/>
      <c r="J197" s="540"/>
      <c r="K197" s="540"/>
      <c r="L197" s="540"/>
      <c r="M197" s="540"/>
      <c r="N197" s="542"/>
      <c r="O197" s="544"/>
      <c r="P197" s="544"/>
      <c r="Q197" s="544"/>
      <c r="R197" s="544"/>
      <c r="S197" s="544"/>
      <c r="T197" s="544"/>
      <c r="U197" s="544"/>
    </row>
    <row r="198" spans="1:21" s="543" customFormat="1" ht="15" customHeight="1">
      <c r="A198" s="538">
        <v>882201</v>
      </c>
      <c r="B198" s="537" t="s">
        <v>65</v>
      </c>
      <c r="C198" s="602" t="s">
        <v>754</v>
      </c>
      <c r="D198" s="601">
        <v>8550</v>
      </c>
      <c r="E198" s="532">
        <f>SUM(F198:N198)</f>
        <v>9500</v>
      </c>
      <c r="F198" s="540"/>
      <c r="G198" s="540"/>
      <c r="H198" s="540"/>
      <c r="I198" s="540"/>
      <c r="J198" s="540">
        <v>9500</v>
      </c>
      <c r="K198" s="540"/>
      <c r="L198" s="540"/>
      <c r="M198" s="540"/>
      <c r="N198" s="542"/>
      <c r="O198" s="544"/>
      <c r="P198" s="544"/>
      <c r="Q198" s="544"/>
      <c r="R198" s="544"/>
      <c r="S198" s="544"/>
      <c r="T198" s="544"/>
      <c r="U198" s="544"/>
    </row>
    <row r="199" spans="1:21" s="543" customFormat="1" ht="15" customHeight="1">
      <c r="A199" s="538"/>
      <c r="B199" s="537"/>
      <c r="C199" s="600" t="s">
        <v>550</v>
      </c>
      <c r="D199" s="601">
        <v>4082</v>
      </c>
      <c r="E199" s="532"/>
      <c r="F199" s="540"/>
      <c r="G199" s="540"/>
      <c r="H199" s="540"/>
      <c r="I199" s="540"/>
      <c r="J199" s="540"/>
      <c r="K199" s="540"/>
      <c r="L199" s="540"/>
      <c r="M199" s="540"/>
      <c r="N199" s="542"/>
      <c r="O199" s="544"/>
      <c r="P199" s="544"/>
      <c r="Q199" s="544"/>
      <c r="R199" s="544"/>
      <c r="S199" s="544"/>
      <c r="T199" s="544"/>
      <c r="U199" s="544"/>
    </row>
    <row r="200" spans="1:21" s="543" customFormat="1" ht="15" customHeight="1">
      <c r="A200" s="538"/>
      <c r="B200" s="537"/>
      <c r="C200" s="600" t="s">
        <v>535</v>
      </c>
      <c r="D200" s="601">
        <v>4082</v>
      </c>
      <c r="E200" s="532"/>
      <c r="F200" s="540"/>
      <c r="G200" s="540"/>
      <c r="H200" s="540"/>
      <c r="I200" s="540"/>
      <c r="J200" s="540"/>
      <c r="K200" s="540"/>
      <c r="L200" s="540"/>
      <c r="M200" s="540"/>
      <c r="N200" s="542"/>
      <c r="O200" s="544"/>
      <c r="P200" s="544"/>
      <c r="Q200" s="544"/>
      <c r="R200" s="544"/>
      <c r="S200" s="544"/>
      <c r="T200" s="544"/>
      <c r="U200" s="544"/>
    </row>
    <row r="201" spans="1:21" s="543" customFormat="1" ht="15" customHeight="1">
      <c r="A201" s="538">
        <v>882202</v>
      </c>
      <c r="B201" s="537" t="s">
        <v>135</v>
      </c>
      <c r="C201" s="602" t="s">
        <v>754</v>
      </c>
      <c r="D201" s="601"/>
      <c r="E201" s="532">
        <f aca="true" t="shared" si="6" ref="E201:E210">SUM(F201:N201)</f>
        <v>2000</v>
      </c>
      <c r="F201" s="540"/>
      <c r="G201" s="540"/>
      <c r="H201" s="540"/>
      <c r="I201" s="540"/>
      <c r="J201" s="540">
        <v>2000</v>
      </c>
      <c r="K201" s="540"/>
      <c r="L201" s="540"/>
      <c r="M201" s="540"/>
      <c r="N201" s="542"/>
      <c r="O201" s="544"/>
      <c r="P201" s="544"/>
      <c r="Q201" s="544"/>
      <c r="R201" s="544"/>
      <c r="S201" s="544"/>
      <c r="T201" s="544"/>
      <c r="U201" s="544"/>
    </row>
    <row r="202" spans="1:21" s="543" customFormat="1" ht="15" customHeight="1">
      <c r="A202" s="538"/>
      <c r="B202" s="537"/>
      <c r="C202" s="600" t="s">
        <v>550</v>
      </c>
      <c r="D202" s="601"/>
      <c r="E202" s="532">
        <f t="shared" si="6"/>
        <v>1500</v>
      </c>
      <c r="F202" s="540"/>
      <c r="G202" s="540"/>
      <c r="H202" s="540"/>
      <c r="I202" s="540"/>
      <c r="J202" s="540">
        <v>1500</v>
      </c>
      <c r="K202" s="540"/>
      <c r="L202" s="540"/>
      <c r="M202" s="540"/>
      <c r="N202" s="542"/>
      <c r="O202" s="544"/>
      <c r="P202" s="544"/>
      <c r="Q202" s="544"/>
      <c r="R202" s="544"/>
      <c r="S202" s="544"/>
      <c r="T202" s="544"/>
      <c r="U202" s="544"/>
    </row>
    <row r="203" spans="1:21" s="543" customFormat="1" ht="15" customHeight="1">
      <c r="A203" s="538"/>
      <c r="B203" s="537"/>
      <c r="C203" s="600" t="s">
        <v>535</v>
      </c>
      <c r="D203" s="601"/>
      <c r="E203" s="532">
        <f t="shared" si="6"/>
        <v>1435</v>
      </c>
      <c r="F203" s="540"/>
      <c r="G203" s="540"/>
      <c r="H203" s="540"/>
      <c r="I203" s="540"/>
      <c r="J203" s="540">
        <v>1435</v>
      </c>
      <c r="K203" s="540"/>
      <c r="L203" s="540"/>
      <c r="M203" s="540"/>
      <c r="N203" s="542"/>
      <c r="O203" s="544"/>
      <c r="P203" s="544"/>
      <c r="Q203" s="544"/>
      <c r="R203" s="544"/>
      <c r="S203" s="544"/>
      <c r="T203" s="544"/>
      <c r="U203" s="544"/>
    </row>
    <row r="204" spans="1:21" s="543" customFormat="1" ht="15" customHeight="1">
      <c r="A204" s="538">
        <v>882203</v>
      </c>
      <c r="B204" s="537" t="s">
        <v>136</v>
      </c>
      <c r="C204" s="602" t="s">
        <v>754</v>
      </c>
      <c r="D204" s="601"/>
      <c r="E204" s="532">
        <f t="shared" si="6"/>
        <v>1500</v>
      </c>
      <c r="F204" s="540"/>
      <c r="G204" s="540"/>
      <c r="H204" s="540"/>
      <c r="I204" s="540"/>
      <c r="J204" s="540">
        <v>1500</v>
      </c>
      <c r="K204" s="540"/>
      <c r="L204" s="540"/>
      <c r="M204" s="540"/>
      <c r="N204" s="542"/>
      <c r="O204" s="544"/>
      <c r="P204" s="544"/>
      <c r="Q204" s="544"/>
      <c r="R204" s="544"/>
      <c r="S204" s="544"/>
      <c r="T204" s="544"/>
      <c r="U204" s="544"/>
    </row>
    <row r="205" spans="1:21" s="543" customFormat="1" ht="15" customHeight="1">
      <c r="A205" s="538"/>
      <c r="B205" s="537"/>
      <c r="C205" s="600" t="s">
        <v>550</v>
      </c>
      <c r="D205" s="601"/>
      <c r="E205" s="532">
        <f t="shared" si="6"/>
        <v>1500</v>
      </c>
      <c r="F205" s="540"/>
      <c r="G205" s="540"/>
      <c r="H205" s="540"/>
      <c r="I205" s="540"/>
      <c r="J205" s="540">
        <v>1500</v>
      </c>
      <c r="K205" s="540"/>
      <c r="L205" s="540"/>
      <c r="M205" s="540"/>
      <c r="N205" s="542"/>
      <c r="O205" s="544"/>
      <c r="P205" s="544"/>
      <c r="Q205" s="544"/>
      <c r="R205" s="544"/>
      <c r="S205" s="544"/>
      <c r="T205" s="544"/>
      <c r="U205" s="544"/>
    </row>
    <row r="206" spans="1:21" s="543" customFormat="1" ht="15" customHeight="1">
      <c r="A206" s="538"/>
      <c r="B206" s="537"/>
      <c r="C206" s="600" t="s">
        <v>535</v>
      </c>
      <c r="D206" s="601">
        <v>6</v>
      </c>
      <c r="E206" s="532">
        <f t="shared" si="6"/>
        <v>1388</v>
      </c>
      <c r="F206" s="540"/>
      <c r="G206" s="540"/>
      <c r="H206" s="540">
        <v>74</v>
      </c>
      <c r="I206" s="540"/>
      <c r="J206" s="540">
        <v>1314</v>
      </c>
      <c r="K206" s="540"/>
      <c r="L206" s="540"/>
      <c r="M206" s="540"/>
      <c r="N206" s="542"/>
      <c r="O206" s="544"/>
      <c r="P206" s="544"/>
      <c r="Q206" s="544"/>
      <c r="R206" s="544"/>
      <c r="S206" s="544"/>
      <c r="T206" s="544"/>
      <c r="U206" s="544"/>
    </row>
    <row r="207" spans="1:21" s="543" customFormat="1" ht="15" customHeight="1">
      <c r="A207" s="538">
        <v>889101</v>
      </c>
      <c r="B207" s="537" t="s">
        <v>137</v>
      </c>
      <c r="C207" s="602" t="s">
        <v>754</v>
      </c>
      <c r="D207" s="601">
        <v>10035</v>
      </c>
      <c r="E207" s="532">
        <f t="shared" si="6"/>
        <v>7000</v>
      </c>
      <c r="F207" s="540"/>
      <c r="G207" s="540"/>
      <c r="H207" s="540"/>
      <c r="I207" s="540">
        <v>7000</v>
      </c>
      <c r="J207" s="540"/>
      <c r="K207" s="540"/>
      <c r="L207" s="540"/>
      <c r="M207" s="540"/>
      <c r="N207" s="542"/>
      <c r="O207" s="544"/>
      <c r="P207" s="544"/>
      <c r="Q207" s="544"/>
      <c r="R207" s="544"/>
      <c r="S207" s="544"/>
      <c r="T207" s="544"/>
      <c r="U207" s="544"/>
    </row>
    <row r="208" spans="1:21" s="543" customFormat="1" ht="15" customHeight="1">
      <c r="A208" s="538"/>
      <c r="B208" s="537"/>
      <c r="C208" s="600" t="s">
        <v>550</v>
      </c>
      <c r="D208" s="601">
        <v>10035</v>
      </c>
      <c r="E208" s="532">
        <f t="shared" si="6"/>
        <v>17035</v>
      </c>
      <c r="F208" s="540"/>
      <c r="G208" s="540"/>
      <c r="H208" s="540"/>
      <c r="I208" s="540">
        <v>7000</v>
      </c>
      <c r="J208" s="540"/>
      <c r="K208" s="540"/>
      <c r="L208" s="540">
        <v>10035</v>
      </c>
      <c r="M208" s="540"/>
      <c r="N208" s="542"/>
      <c r="O208" s="544"/>
      <c r="P208" s="544"/>
      <c r="Q208" s="544"/>
      <c r="R208" s="544"/>
      <c r="S208" s="544"/>
      <c r="T208" s="544"/>
      <c r="U208" s="544"/>
    </row>
    <row r="209" spans="1:21" s="543" customFormat="1" ht="15" customHeight="1">
      <c r="A209" s="538"/>
      <c r="B209" s="537"/>
      <c r="C209" s="600" t="s">
        <v>535</v>
      </c>
      <c r="D209" s="601">
        <v>10035</v>
      </c>
      <c r="E209" s="532">
        <f t="shared" si="6"/>
        <v>17035</v>
      </c>
      <c r="F209" s="540"/>
      <c r="G209" s="540"/>
      <c r="H209" s="540"/>
      <c r="I209" s="540">
        <v>7000</v>
      </c>
      <c r="J209" s="540"/>
      <c r="K209" s="540"/>
      <c r="L209" s="540">
        <v>10035</v>
      </c>
      <c r="M209" s="540"/>
      <c r="N209" s="542"/>
      <c r="O209" s="544"/>
      <c r="P209" s="544"/>
      <c r="Q209" s="544"/>
      <c r="R209" s="544"/>
      <c r="S209" s="544"/>
      <c r="T209" s="544"/>
      <c r="U209" s="544"/>
    </row>
    <row r="210" spans="1:21" s="543" customFormat="1" ht="15" customHeight="1">
      <c r="A210" s="538">
        <v>889923</v>
      </c>
      <c r="B210" s="537" t="s">
        <v>1029</v>
      </c>
      <c r="C210" s="602" t="s">
        <v>754</v>
      </c>
      <c r="D210" s="601">
        <v>2450</v>
      </c>
      <c r="E210" s="532">
        <f t="shared" si="6"/>
        <v>0</v>
      </c>
      <c r="F210" s="540"/>
      <c r="G210" s="540"/>
      <c r="H210" s="540"/>
      <c r="I210" s="540"/>
      <c r="J210" s="540"/>
      <c r="K210" s="540"/>
      <c r="L210" s="540"/>
      <c r="M210" s="540"/>
      <c r="N210" s="542"/>
      <c r="O210" s="544"/>
      <c r="P210" s="544"/>
      <c r="Q210" s="544"/>
      <c r="R210" s="544"/>
      <c r="S210" s="544"/>
      <c r="T210" s="544"/>
      <c r="U210" s="544"/>
    </row>
    <row r="211" spans="1:21" s="543" customFormat="1" ht="15" customHeight="1">
      <c r="A211" s="538"/>
      <c r="B211" s="537"/>
      <c r="C211" s="600" t="s">
        <v>550</v>
      </c>
      <c r="D211" s="601">
        <v>2450</v>
      </c>
      <c r="E211" s="532"/>
      <c r="F211" s="540"/>
      <c r="G211" s="540"/>
      <c r="H211" s="540"/>
      <c r="I211" s="540"/>
      <c r="J211" s="540"/>
      <c r="K211" s="540"/>
      <c r="L211" s="540"/>
      <c r="M211" s="540"/>
      <c r="N211" s="542"/>
      <c r="O211" s="544"/>
      <c r="P211" s="544"/>
      <c r="Q211" s="544"/>
      <c r="R211" s="544"/>
      <c r="S211" s="544"/>
      <c r="T211" s="544"/>
      <c r="U211" s="544"/>
    </row>
    <row r="212" spans="1:21" s="543" customFormat="1" ht="15" customHeight="1">
      <c r="A212" s="538"/>
      <c r="B212" s="537"/>
      <c r="C212" s="600" t="s">
        <v>535</v>
      </c>
      <c r="D212" s="601">
        <v>2468</v>
      </c>
      <c r="E212" s="532"/>
      <c r="F212" s="540"/>
      <c r="G212" s="540"/>
      <c r="H212" s="540"/>
      <c r="I212" s="540"/>
      <c r="J212" s="540"/>
      <c r="K212" s="540"/>
      <c r="L212" s="540"/>
      <c r="M212" s="540"/>
      <c r="N212" s="542"/>
      <c r="O212" s="544"/>
      <c r="P212" s="544"/>
      <c r="Q212" s="544"/>
      <c r="R212" s="544"/>
      <c r="S212" s="544"/>
      <c r="T212" s="544"/>
      <c r="U212" s="544"/>
    </row>
    <row r="213" spans="1:21" s="543" customFormat="1" ht="15" customHeight="1">
      <c r="A213" s="538">
        <v>889925</v>
      </c>
      <c r="B213" s="537" t="s">
        <v>138</v>
      </c>
      <c r="C213" s="602" t="s">
        <v>754</v>
      </c>
      <c r="D213" s="601">
        <v>15193</v>
      </c>
      <c r="E213" s="532">
        <f>SUM(F213:N213)</f>
        <v>0</v>
      </c>
      <c r="F213" s="540"/>
      <c r="G213" s="540"/>
      <c r="H213" s="540"/>
      <c r="I213" s="540"/>
      <c r="J213" s="540"/>
      <c r="K213" s="540"/>
      <c r="L213" s="540"/>
      <c r="M213" s="540"/>
      <c r="N213" s="542"/>
      <c r="O213" s="544"/>
      <c r="P213" s="544"/>
      <c r="Q213" s="544"/>
      <c r="R213" s="544"/>
      <c r="S213" s="544"/>
      <c r="T213" s="544"/>
      <c r="U213" s="544"/>
    </row>
    <row r="214" spans="1:26" s="561" customFormat="1" ht="15" customHeight="1">
      <c r="A214" s="538"/>
      <c r="B214" s="537"/>
      <c r="C214" s="600" t="s">
        <v>550</v>
      </c>
      <c r="D214" s="601">
        <v>15193</v>
      </c>
      <c r="E214" s="532"/>
      <c r="F214" s="540"/>
      <c r="G214" s="540"/>
      <c r="H214" s="540"/>
      <c r="I214" s="540"/>
      <c r="J214" s="540"/>
      <c r="K214" s="540"/>
      <c r="L214" s="540"/>
      <c r="M214" s="540"/>
      <c r="N214" s="542"/>
      <c r="O214" s="544"/>
      <c r="P214" s="544"/>
      <c r="Q214" s="544"/>
      <c r="R214" s="544"/>
      <c r="S214" s="544"/>
      <c r="T214" s="544"/>
      <c r="U214" s="544"/>
      <c r="V214" s="544"/>
      <c r="W214" s="544"/>
      <c r="X214" s="544"/>
      <c r="Y214" s="544"/>
      <c r="Z214" s="544"/>
    </row>
    <row r="215" spans="1:26" s="561" customFormat="1" ht="15" customHeight="1">
      <c r="A215" s="538"/>
      <c r="B215" s="537"/>
      <c r="C215" s="600" t="s">
        <v>535</v>
      </c>
      <c r="D215" s="601">
        <v>15193</v>
      </c>
      <c r="E215" s="532"/>
      <c r="F215" s="540"/>
      <c r="G215" s="540"/>
      <c r="H215" s="540"/>
      <c r="I215" s="540"/>
      <c r="J215" s="540"/>
      <c r="K215" s="540"/>
      <c r="L215" s="540"/>
      <c r="M215" s="540"/>
      <c r="N215" s="542"/>
      <c r="O215" s="544"/>
      <c r="P215" s="544"/>
      <c r="Q215" s="544"/>
      <c r="R215" s="544"/>
      <c r="S215" s="544"/>
      <c r="T215" s="544"/>
      <c r="U215" s="544"/>
      <c r="V215" s="544"/>
      <c r="W215" s="544"/>
      <c r="X215" s="544"/>
      <c r="Y215" s="544"/>
      <c r="Z215" s="544"/>
    </row>
    <row r="216" spans="1:26" s="561" customFormat="1" ht="15" customHeight="1">
      <c r="A216" s="538">
        <v>889926</v>
      </c>
      <c r="B216" s="537" t="s">
        <v>66</v>
      </c>
      <c r="C216" s="602" t="s">
        <v>754</v>
      </c>
      <c r="D216" s="601">
        <v>42677</v>
      </c>
      <c r="E216" s="532">
        <f aca="true" t="shared" si="7" ref="E216:E222">SUM(F216:N216)</f>
        <v>34570</v>
      </c>
      <c r="F216" s="540"/>
      <c r="G216" s="540"/>
      <c r="H216" s="540">
        <v>2260</v>
      </c>
      <c r="I216" s="540"/>
      <c r="J216" s="540"/>
      <c r="K216" s="540"/>
      <c r="L216" s="540">
        <v>32310</v>
      </c>
      <c r="M216" s="541"/>
      <c r="N216" s="542"/>
      <c r="O216" s="544"/>
      <c r="P216" s="544"/>
      <c r="Q216" s="544"/>
      <c r="R216" s="544"/>
      <c r="S216" s="544"/>
      <c r="T216" s="544"/>
      <c r="U216" s="544"/>
      <c r="V216" s="544"/>
      <c r="W216" s="544"/>
      <c r="X216" s="544"/>
      <c r="Y216" s="544"/>
      <c r="Z216" s="544"/>
    </row>
    <row r="217" spans="1:21" s="543" customFormat="1" ht="15" customHeight="1">
      <c r="A217" s="538"/>
      <c r="B217" s="537"/>
      <c r="C217" s="600" t="s">
        <v>550</v>
      </c>
      <c r="D217" s="601">
        <v>71776</v>
      </c>
      <c r="E217" s="532">
        <f t="shared" si="7"/>
        <v>50492</v>
      </c>
      <c r="F217" s="540">
        <v>1160</v>
      </c>
      <c r="G217" s="540">
        <v>282</v>
      </c>
      <c r="H217" s="540"/>
      <c r="I217" s="540"/>
      <c r="J217" s="540"/>
      <c r="K217" s="540"/>
      <c r="L217" s="540">
        <v>49050</v>
      </c>
      <c r="M217" s="541"/>
      <c r="N217" s="542"/>
      <c r="O217" s="544"/>
      <c r="P217" s="544"/>
      <c r="Q217" s="544"/>
      <c r="R217" s="544"/>
      <c r="S217" s="544"/>
      <c r="T217" s="544"/>
      <c r="U217" s="544"/>
    </row>
    <row r="218" spans="1:21" s="543" customFormat="1" ht="15" customHeight="1">
      <c r="A218" s="538"/>
      <c r="B218" s="537"/>
      <c r="C218" s="600" t="s">
        <v>535</v>
      </c>
      <c r="D218" s="601">
        <v>71776</v>
      </c>
      <c r="E218" s="532">
        <f t="shared" si="7"/>
        <v>50149</v>
      </c>
      <c r="F218" s="540">
        <v>1390</v>
      </c>
      <c r="G218" s="540">
        <v>344</v>
      </c>
      <c r="H218" s="540">
        <v>24</v>
      </c>
      <c r="I218" s="540"/>
      <c r="J218" s="540"/>
      <c r="K218" s="540"/>
      <c r="L218" s="540">
        <v>48391</v>
      </c>
      <c r="M218" s="541"/>
      <c r="N218" s="542"/>
      <c r="O218" s="544"/>
      <c r="P218" s="544"/>
      <c r="Q218" s="544"/>
      <c r="R218" s="544"/>
      <c r="S218" s="544"/>
      <c r="T218" s="544"/>
      <c r="U218" s="544"/>
    </row>
    <row r="219" spans="1:21" s="543" customFormat="1" ht="15" customHeight="1">
      <c r="A219" s="538">
        <v>889942</v>
      </c>
      <c r="B219" s="537" t="s">
        <v>139</v>
      </c>
      <c r="C219" s="602" t="s">
        <v>754</v>
      </c>
      <c r="D219" s="601">
        <v>4500</v>
      </c>
      <c r="E219" s="532">
        <f t="shared" si="7"/>
        <v>2500</v>
      </c>
      <c r="F219" s="540"/>
      <c r="G219" s="540"/>
      <c r="H219" s="540"/>
      <c r="I219" s="540">
        <v>1000</v>
      </c>
      <c r="J219" s="540"/>
      <c r="K219" s="540"/>
      <c r="L219" s="540"/>
      <c r="M219" s="540">
        <v>1500</v>
      </c>
      <c r="N219" s="542"/>
      <c r="O219" s="544"/>
      <c r="P219" s="544"/>
      <c r="Q219" s="544"/>
      <c r="R219" s="544"/>
      <c r="S219" s="544"/>
      <c r="T219" s="544"/>
      <c r="U219" s="544"/>
    </row>
    <row r="220" spans="1:21" s="543" customFormat="1" ht="15" customHeight="1">
      <c r="A220" s="538"/>
      <c r="B220" s="537"/>
      <c r="C220" s="600" t="s">
        <v>550</v>
      </c>
      <c r="D220" s="601">
        <v>4500</v>
      </c>
      <c r="E220" s="532">
        <f t="shared" si="7"/>
        <v>2500</v>
      </c>
      <c r="F220" s="540"/>
      <c r="G220" s="540"/>
      <c r="H220" s="540"/>
      <c r="I220" s="540">
        <v>1000</v>
      </c>
      <c r="J220" s="540"/>
      <c r="K220" s="540"/>
      <c r="L220" s="540"/>
      <c r="M220" s="540">
        <v>1500</v>
      </c>
      <c r="N220" s="542"/>
      <c r="O220" s="544"/>
      <c r="P220" s="544"/>
      <c r="Q220" s="544"/>
      <c r="R220" s="544"/>
      <c r="S220" s="544"/>
      <c r="T220" s="544"/>
      <c r="U220" s="544"/>
    </row>
    <row r="221" spans="1:21" s="543" customFormat="1" ht="15" customHeight="1">
      <c r="A221" s="538"/>
      <c r="B221" s="537"/>
      <c r="C221" s="600" t="s">
        <v>535</v>
      </c>
      <c r="D221" s="601">
        <v>3027</v>
      </c>
      <c r="E221" s="532">
        <f t="shared" si="7"/>
        <v>1006</v>
      </c>
      <c r="F221" s="540"/>
      <c r="G221" s="540"/>
      <c r="H221" s="540">
        <v>6</v>
      </c>
      <c r="I221" s="540">
        <v>400</v>
      </c>
      <c r="J221" s="540"/>
      <c r="K221" s="540"/>
      <c r="L221" s="540"/>
      <c r="M221" s="540">
        <v>600</v>
      </c>
      <c r="N221" s="542"/>
      <c r="O221" s="544"/>
      <c r="P221" s="544"/>
      <c r="Q221" s="544"/>
      <c r="R221" s="544"/>
      <c r="S221" s="544"/>
      <c r="T221" s="544"/>
      <c r="U221" s="544"/>
    </row>
    <row r="222" spans="1:21" s="543" customFormat="1" ht="15" customHeight="1">
      <c r="A222" s="538">
        <v>882125</v>
      </c>
      <c r="B222" s="537" t="s">
        <v>1032</v>
      </c>
      <c r="C222" s="602" t="s">
        <v>754</v>
      </c>
      <c r="D222" s="601">
        <v>1500</v>
      </c>
      <c r="E222" s="532">
        <f t="shared" si="7"/>
        <v>1500</v>
      </c>
      <c r="F222" s="540"/>
      <c r="G222" s="540"/>
      <c r="H222" s="540"/>
      <c r="I222" s="540"/>
      <c r="J222" s="540">
        <v>1500</v>
      </c>
      <c r="K222" s="540"/>
      <c r="L222" s="540"/>
      <c r="M222" s="540"/>
      <c r="N222" s="542"/>
      <c r="O222" s="544"/>
      <c r="P222" s="544"/>
      <c r="Q222" s="544"/>
      <c r="R222" s="544"/>
      <c r="S222" s="544"/>
      <c r="T222" s="544"/>
      <c r="U222" s="544"/>
    </row>
    <row r="223" spans="1:21" s="543" customFormat="1" ht="15" customHeight="1">
      <c r="A223" s="538"/>
      <c r="B223" s="537"/>
      <c r="C223" s="600" t="s">
        <v>550</v>
      </c>
      <c r="D223" s="601">
        <v>1500</v>
      </c>
      <c r="E223" s="532"/>
      <c r="F223" s="540"/>
      <c r="G223" s="540"/>
      <c r="H223" s="540"/>
      <c r="I223" s="540"/>
      <c r="J223" s="540"/>
      <c r="K223" s="540"/>
      <c r="L223" s="540"/>
      <c r="M223" s="540"/>
      <c r="N223" s="542"/>
      <c r="O223" s="544"/>
      <c r="P223" s="544"/>
      <c r="Q223" s="544"/>
      <c r="R223" s="544"/>
      <c r="S223" s="544"/>
      <c r="T223" s="544"/>
      <c r="U223" s="544"/>
    </row>
    <row r="224" spans="1:21" s="543" customFormat="1" ht="15" customHeight="1">
      <c r="A224" s="538"/>
      <c r="B224" s="537"/>
      <c r="C224" s="600" t="s">
        <v>535</v>
      </c>
      <c r="D224" s="601">
        <v>357</v>
      </c>
      <c r="E224" s="532"/>
      <c r="F224" s="540"/>
      <c r="G224" s="540"/>
      <c r="H224" s="540"/>
      <c r="I224" s="540"/>
      <c r="J224" s="540"/>
      <c r="K224" s="540"/>
      <c r="L224" s="540"/>
      <c r="M224" s="540"/>
      <c r="N224" s="542"/>
      <c r="O224" s="544"/>
      <c r="P224" s="544"/>
      <c r="Q224" s="544"/>
      <c r="R224" s="544"/>
      <c r="S224" s="544"/>
      <c r="T224" s="544"/>
      <c r="U224" s="544"/>
    </row>
    <row r="225" spans="1:21" s="543" customFormat="1" ht="24.75" customHeight="1">
      <c r="A225" s="538">
        <v>890216</v>
      </c>
      <c r="B225" s="606" t="s">
        <v>140</v>
      </c>
      <c r="C225" s="602" t="s">
        <v>754</v>
      </c>
      <c r="D225" s="601"/>
      <c r="E225" s="532">
        <f aca="true" t="shared" si="8" ref="E225:E233">SUM(F225:N225)</f>
        <v>9180</v>
      </c>
      <c r="F225" s="540"/>
      <c r="G225" s="540">
        <v>135</v>
      </c>
      <c r="H225" s="540">
        <v>5045</v>
      </c>
      <c r="I225" s="540"/>
      <c r="J225" s="540">
        <v>4000</v>
      </c>
      <c r="K225" s="540"/>
      <c r="L225" s="540"/>
      <c r="M225" s="540"/>
      <c r="N225" s="542"/>
      <c r="O225" s="544"/>
      <c r="P225" s="544"/>
      <c r="Q225" s="544"/>
      <c r="R225" s="544"/>
      <c r="S225" s="544"/>
      <c r="T225" s="544"/>
      <c r="U225" s="544"/>
    </row>
    <row r="226" spans="1:21" s="543" customFormat="1" ht="15" customHeight="1">
      <c r="A226" s="538"/>
      <c r="B226" s="537"/>
      <c r="C226" s="600" t="s">
        <v>550</v>
      </c>
      <c r="D226" s="601">
        <v>2216</v>
      </c>
      <c r="E226" s="532">
        <f t="shared" si="8"/>
        <v>11870</v>
      </c>
      <c r="F226" s="540">
        <v>380</v>
      </c>
      <c r="G226" s="540">
        <v>215</v>
      </c>
      <c r="H226" s="540">
        <v>6744</v>
      </c>
      <c r="I226" s="540">
        <v>531</v>
      </c>
      <c r="J226" s="540">
        <v>4000</v>
      </c>
      <c r="K226" s="540"/>
      <c r="L226" s="540"/>
      <c r="M226" s="540"/>
      <c r="N226" s="542"/>
      <c r="O226" s="544"/>
      <c r="P226" s="544"/>
      <c r="Q226" s="544"/>
      <c r="R226" s="544"/>
      <c r="S226" s="544"/>
      <c r="T226" s="544"/>
      <c r="U226" s="544"/>
    </row>
    <row r="227" spans="1:21" s="543" customFormat="1" ht="15" customHeight="1">
      <c r="A227" s="538"/>
      <c r="B227" s="537"/>
      <c r="C227" s="600" t="s">
        <v>535</v>
      </c>
      <c r="D227" s="601">
        <v>2534</v>
      </c>
      <c r="E227" s="532">
        <f t="shared" si="8"/>
        <v>9026</v>
      </c>
      <c r="F227" s="540">
        <v>378</v>
      </c>
      <c r="G227" s="540">
        <v>215</v>
      </c>
      <c r="H227" s="540">
        <v>6745</v>
      </c>
      <c r="I227" s="540">
        <v>531</v>
      </c>
      <c r="J227" s="540">
        <v>1157</v>
      </c>
      <c r="K227" s="540"/>
      <c r="L227" s="540"/>
      <c r="M227" s="540"/>
      <c r="N227" s="542"/>
      <c r="O227" s="544"/>
      <c r="P227" s="544"/>
      <c r="Q227" s="544"/>
      <c r="R227" s="544"/>
      <c r="S227" s="544"/>
      <c r="T227" s="544"/>
      <c r="U227" s="544"/>
    </row>
    <row r="228" spans="1:21" ht="15" customHeight="1">
      <c r="A228" s="538">
        <v>890441</v>
      </c>
      <c r="B228" s="537" t="s">
        <v>28</v>
      </c>
      <c r="C228" s="602" t="s">
        <v>754</v>
      </c>
      <c r="D228" s="601">
        <v>18600</v>
      </c>
      <c r="E228" s="532">
        <f t="shared" si="8"/>
        <v>22400</v>
      </c>
      <c r="F228" s="534">
        <v>19300</v>
      </c>
      <c r="G228" s="534">
        <v>2600</v>
      </c>
      <c r="H228" s="534">
        <v>500</v>
      </c>
      <c r="I228" s="534"/>
      <c r="J228" s="534"/>
      <c r="K228" s="534"/>
      <c r="L228" s="534"/>
      <c r="M228" s="534"/>
      <c r="N228" s="535"/>
      <c r="O228" s="607"/>
      <c r="P228" s="607"/>
      <c r="Q228" s="607"/>
      <c r="R228" s="607"/>
      <c r="S228" s="607"/>
      <c r="T228" s="607"/>
      <c r="U228" s="607"/>
    </row>
    <row r="229" spans="1:21" ht="15" customHeight="1">
      <c r="A229" s="538"/>
      <c r="B229" s="537"/>
      <c r="C229" s="600" t="s">
        <v>550</v>
      </c>
      <c r="D229" s="601"/>
      <c r="E229" s="532">
        <f t="shared" si="8"/>
        <v>571</v>
      </c>
      <c r="F229" s="534">
        <v>52</v>
      </c>
      <c r="G229" s="534">
        <v>19</v>
      </c>
      <c r="H229" s="534">
        <v>500</v>
      </c>
      <c r="I229" s="534"/>
      <c r="J229" s="534"/>
      <c r="K229" s="534"/>
      <c r="L229" s="534"/>
      <c r="M229" s="534"/>
      <c r="N229" s="535"/>
      <c r="O229" s="607"/>
      <c r="P229" s="607"/>
      <c r="Q229" s="607"/>
      <c r="R229" s="607"/>
      <c r="S229" s="607"/>
      <c r="T229" s="607"/>
      <c r="U229" s="607"/>
    </row>
    <row r="230" spans="1:21" ht="15" customHeight="1">
      <c r="A230" s="538"/>
      <c r="B230" s="537"/>
      <c r="C230" s="600" t="s">
        <v>535</v>
      </c>
      <c r="D230" s="601"/>
      <c r="E230" s="532">
        <f t="shared" si="8"/>
        <v>71</v>
      </c>
      <c r="F230" s="534">
        <v>52</v>
      </c>
      <c r="G230" s="534">
        <v>19</v>
      </c>
      <c r="H230" s="534"/>
      <c r="I230" s="534"/>
      <c r="J230" s="534"/>
      <c r="K230" s="534"/>
      <c r="L230" s="534"/>
      <c r="M230" s="534"/>
      <c r="N230" s="535"/>
      <c r="O230" s="607"/>
      <c r="P230" s="607"/>
      <c r="Q230" s="607"/>
      <c r="R230" s="607"/>
      <c r="S230" s="607"/>
      <c r="T230" s="607"/>
      <c r="U230" s="607"/>
    </row>
    <row r="231" spans="1:21" ht="15" customHeight="1">
      <c r="A231" s="538">
        <v>890442</v>
      </c>
      <c r="B231" s="537" t="s">
        <v>141</v>
      </c>
      <c r="C231" s="602" t="s">
        <v>754</v>
      </c>
      <c r="D231" s="601">
        <v>22200</v>
      </c>
      <c r="E231" s="532">
        <f t="shared" si="8"/>
        <v>27600</v>
      </c>
      <c r="F231" s="534">
        <v>23000</v>
      </c>
      <c r="G231" s="534">
        <v>3100</v>
      </c>
      <c r="H231" s="534">
        <v>1500</v>
      </c>
      <c r="I231" s="534"/>
      <c r="J231" s="534"/>
      <c r="K231" s="534"/>
      <c r="L231" s="534"/>
      <c r="M231" s="534"/>
      <c r="N231" s="535"/>
      <c r="O231" s="607"/>
      <c r="P231" s="607"/>
      <c r="Q231" s="607"/>
      <c r="R231" s="607"/>
      <c r="S231" s="607"/>
      <c r="T231" s="607"/>
      <c r="U231" s="607"/>
    </row>
    <row r="232" spans="1:21" ht="15" customHeight="1">
      <c r="A232" s="538"/>
      <c r="B232" s="537"/>
      <c r="C232" s="600" t="s">
        <v>550</v>
      </c>
      <c r="D232" s="601">
        <v>52992</v>
      </c>
      <c r="E232" s="532">
        <f t="shared" si="8"/>
        <v>61621</v>
      </c>
      <c r="F232" s="534">
        <v>50885</v>
      </c>
      <c r="G232" s="534">
        <v>7126</v>
      </c>
      <c r="H232" s="534">
        <v>3610</v>
      </c>
      <c r="I232" s="534"/>
      <c r="J232" s="534"/>
      <c r="K232" s="534"/>
      <c r="L232" s="534"/>
      <c r="M232" s="534"/>
      <c r="N232" s="535"/>
      <c r="O232" s="607"/>
      <c r="P232" s="607"/>
      <c r="Q232" s="607"/>
      <c r="R232" s="607"/>
      <c r="S232" s="607"/>
      <c r="T232" s="607"/>
      <c r="U232" s="607"/>
    </row>
    <row r="233" spans="1:21" ht="15" customHeight="1">
      <c r="A233" s="538"/>
      <c r="B233" s="537"/>
      <c r="C233" s="600" t="s">
        <v>535</v>
      </c>
      <c r="D233" s="601">
        <v>52992</v>
      </c>
      <c r="E233" s="532">
        <f t="shared" si="8"/>
        <v>60171</v>
      </c>
      <c r="F233" s="534">
        <v>49610</v>
      </c>
      <c r="G233" s="534">
        <v>6951</v>
      </c>
      <c r="H233" s="534">
        <v>3610</v>
      </c>
      <c r="I233" s="534"/>
      <c r="J233" s="534"/>
      <c r="K233" s="534"/>
      <c r="L233" s="534"/>
      <c r="M233" s="534"/>
      <c r="N233" s="535"/>
      <c r="O233" s="607"/>
      <c r="P233" s="607"/>
      <c r="Q233" s="607"/>
      <c r="R233" s="607"/>
      <c r="S233" s="607"/>
      <c r="T233" s="607"/>
      <c r="U233" s="607"/>
    </row>
    <row r="234" spans="1:21" ht="15" customHeight="1">
      <c r="A234" s="538">
        <v>889935</v>
      </c>
      <c r="B234" s="537" t="s">
        <v>1035</v>
      </c>
      <c r="C234" s="602" t="s">
        <v>754</v>
      </c>
      <c r="D234" s="601"/>
      <c r="E234" s="532"/>
      <c r="F234" s="534"/>
      <c r="G234" s="534"/>
      <c r="H234" s="534"/>
      <c r="I234" s="534"/>
      <c r="J234" s="534"/>
      <c r="K234" s="534"/>
      <c r="L234" s="534"/>
      <c r="M234" s="534"/>
      <c r="N234" s="535"/>
      <c r="O234" s="607"/>
      <c r="P234" s="607"/>
      <c r="Q234" s="607"/>
      <c r="R234" s="607"/>
      <c r="S234" s="607"/>
      <c r="T234" s="607"/>
      <c r="U234" s="607"/>
    </row>
    <row r="235" spans="1:21" ht="15" customHeight="1">
      <c r="A235" s="538"/>
      <c r="B235" s="537"/>
      <c r="C235" s="600" t="s">
        <v>550</v>
      </c>
      <c r="D235" s="601">
        <v>4919</v>
      </c>
      <c r="E235" s="532"/>
      <c r="F235" s="534"/>
      <c r="G235" s="534"/>
      <c r="H235" s="534"/>
      <c r="I235" s="534"/>
      <c r="J235" s="534"/>
      <c r="K235" s="534"/>
      <c r="L235" s="534"/>
      <c r="M235" s="534"/>
      <c r="N235" s="535"/>
      <c r="O235" s="607"/>
      <c r="P235" s="607"/>
      <c r="Q235" s="607"/>
      <c r="R235" s="607"/>
      <c r="S235" s="607"/>
      <c r="T235" s="607"/>
      <c r="U235" s="607"/>
    </row>
    <row r="236" spans="1:21" ht="15" customHeight="1">
      <c r="A236" s="538"/>
      <c r="B236" s="537"/>
      <c r="C236" s="600" t="s">
        <v>535</v>
      </c>
      <c r="D236" s="601">
        <v>4919</v>
      </c>
      <c r="E236" s="532"/>
      <c r="F236" s="534"/>
      <c r="G236" s="534"/>
      <c r="H236" s="534"/>
      <c r="I236" s="534"/>
      <c r="J236" s="534"/>
      <c r="K236" s="534"/>
      <c r="L236" s="534"/>
      <c r="M236" s="534"/>
      <c r="N236" s="535"/>
      <c r="O236" s="607"/>
      <c r="P236" s="607"/>
      <c r="Q236" s="607"/>
      <c r="R236" s="607"/>
      <c r="S236" s="607"/>
      <c r="T236" s="607"/>
      <c r="U236" s="607"/>
    </row>
    <row r="237" spans="1:21" s="543" customFormat="1" ht="15" customHeight="1">
      <c r="A237" s="538">
        <v>910501</v>
      </c>
      <c r="B237" s="537" t="s">
        <v>142</v>
      </c>
      <c r="C237" s="602" t="s">
        <v>754</v>
      </c>
      <c r="D237" s="601"/>
      <c r="E237" s="532">
        <f aca="true" t="shared" si="9" ref="E237:E254">SUM(F237:N237)</f>
        <v>137990</v>
      </c>
      <c r="F237" s="540"/>
      <c r="G237" s="540"/>
      <c r="H237" s="540">
        <v>815</v>
      </c>
      <c r="I237" s="540">
        <v>134311</v>
      </c>
      <c r="J237" s="540"/>
      <c r="K237" s="540"/>
      <c r="L237" s="540"/>
      <c r="M237" s="540"/>
      <c r="N237" s="542">
        <v>2864</v>
      </c>
      <c r="O237" s="544"/>
      <c r="P237" s="544"/>
      <c r="Q237" s="544"/>
      <c r="R237" s="544"/>
      <c r="S237" s="544"/>
      <c r="T237" s="544"/>
      <c r="U237" s="544"/>
    </row>
    <row r="238" spans="1:21" s="543" customFormat="1" ht="15" customHeight="1">
      <c r="A238" s="538"/>
      <c r="B238" s="537"/>
      <c r="C238" s="600" t="s">
        <v>550</v>
      </c>
      <c r="D238" s="601">
        <v>5000</v>
      </c>
      <c r="E238" s="532">
        <f t="shared" si="9"/>
        <v>142911</v>
      </c>
      <c r="F238" s="540">
        <v>29</v>
      </c>
      <c r="G238" s="540">
        <v>7</v>
      </c>
      <c r="H238" s="540">
        <v>3950</v>
      </c>
      <c r="I238" s="540">
        <v>131061</v>
      </c>
      <c r="J238" s="540"/>
      <c r="K238" s="540"/>
      <c r="L238" s="540">
        <v>2864</v>
      </c>
      <c r="M238" s="540">
        <v>5000</v>
      </c>
      <c r="N238" s="542"/>
      <c r="O238" s="544"/>
      <c r="P238" s="544"/>
      <c r="Q238" s="544"/>
      <c r="R238" s="544"/>
      <c r="S238" s="544"/>
      <c r="T238" s="544"/>
      <c r="U238" s="544"/>
    </row>
    <row r="239" spans="1:21" s="543" customFormat="1" ht="15" customHeight="1">
      <c r="A239" s="538"/>
      <c r="B239" s="537"/>
      <c r="C239" s="600" t="s">
        <v>535</v>
      </c>
      <c r="D239" s="601">
        <v>5000</v>
      </c>
      <c r="E239" s="532">
        <f t="shared" si="9"/>
        <v>139126</v>
      </c>
      <c r="F239" s="540">
        <v>29</v>
      </c>
      <c r="G239" s="540">
        <v>329</v>
      </c>
      <c r="H239" s="540">
        <v>3915</v>
      </c>
      <c r="I239" s="540">
        <v>129853</v>
      </c>
      <c r="J239" s="540"/>
      <c r="K239" s="540"/>
      <c r="L239" s="540"/>
      <c r="M239" s="540">
        <v>5000</v>
      </c>
      <c r="N239" s="542"/>
      <c r="O239" s="544"/>
      <c r="P239" s="544"/>
      <c r="Q239" s="544"/>
      <c r="R239" s="544"/>
      <c r="S239" s="544"/>
      <c r="T239" s="544"/>
      <c r="U239" s="544"/>
    </row>
    <row r="240" spans="1:21" s="543" customFormat="1" ht="15" customHeight="1">
      <c r="A240" s="538">
        <v>931202</v>
      </c>
      <c r="B240" s="537" t="s">
        <v>143</v>
      </c>
      <c r="C240" s="602" t="s">
        <v>754</v>
      </c>
      <c r="D240" s="601"/>
      <c r="E240" s="532">
        <f t="shared" si="9"/>
        <v>1000</v>
      </c>
      <c r="F240" s="540"/>
      <c r="G240" s="540"/>
      <c r="H240" s="540"/>
      <c r="I240" s="540">
        <v>1000</v>
      </c>
      <c r="J240" s="540"/>
      <c r="K240" s="540"/>
      <c r="L240" s="540"/>
      <c r="M240" s="540"/>
      <c r="N240" s="542"/>
      <c r="O240" s="544"/>
      <c r="P240" s="544"/>
      <c r="Q240" s="544"/>
      <c r="R240" s="544"/>
      <c r="S240" s="544"/>
      <c r="T240" s="544"/>
      <c r="U240" s="544"/>
    </row>
    <row r="241" spans="1:21" s="543" customFormat="1" ht="15" customHeight="1">
      <c r="A241" s="538"/>
      <c r="B241" s="537"/>
      <c r="C241" s="600" t="s">
        <v>144</v>
      </c>
      <c r="D241" s="601"/>
      <c r="E241" s="532">
        <f t="shared" si="9"/>
        <v>1000</v>
      </c>
      <c r="F241" s="540"/>
      <c r="G241" s="540"/>
      <c r="H241" s="540"/>
      <c r="I241" s="540">
        <v>1000</v>
      </c>
      <c r="J241" s="540"/>
      <c r="K241" s="540"/>
      <c r="L241" s="540"/>
      <c r="M241" s="540"/>
      <c r="N241" s="542"/>
      <c r="O241" s="544"/>
      <c r="P241" s="544"/>
      <c r="Q241" s="544"/>
      <c r="R241" s="544"/>
      <c r="S241" s="544"/>
      <c r="T241" s="544"/>
      <c r="U241" s="544"/>
    </row>
    <row r="242" spans="1:21" s="543" customFormat="1" ht="15" customHeight="1">
      <c r="A242" s="538"/>
      <c r="B242" s="537"/>
      <c r="C242" s="600" t="s">
        <v>535</v>
      </c>
      <c r="D242" s="601"/>
      <c r="E242" s="532">
        <f t="shared" si="9"/>
        <v>1000</v>
      </c>
      <c r="F242" s="540"/>
      <c r="G242" s="540"/>
      <c r="H242" s="540"/>
      <c r="I242" s="540">
        <v>1000</v>
      </c>
      <c r="J242" s="540"/>
      <c r="K242" s="540"/>
      <c r="L242" s="540"/>
      <c r="M242" s="540"/>
      <c r="N242" s="542"/>
      <c r="O242" s="544"/>
      <c r="P242" s="544"/>
      <c r="Q242" s="544"/>
      <c r="R242" s="544"/>
      <c r="S242" s="544"/>
      <c r="T242" s="544"/>
      <c r="U242" s="544"/>
    </row>
    <row r="243" spans="1:21" s="543" customFormat="1" ht="15" customHeight="1">
      <c r="A243" s="538">
        <v>931903</v>
      </c>
      <c r="B243" s="537" t="s">
        <v>145</v>
      </c>
      <c r="C243" s="602" t="s">
        <v>754</v>
      </c>
      <c r="D243" s="601"/>
      <c r="E243" s="532">
        <f t="shared" si="9"/>
        <v>17500</v>
      </c>
      <c r="F243" s="540"/>
      <c r="G243" s="540"/>
      <c r="H243" s="540">
        <v>4500</v>
      </c>
      <c r="I243" s="540">
        <v>13000</v>
      </c>
      <c r="J243" s="540"/>
      <c r="K243" s="540"/>
      <c r="L243" s="540"/>
      <c r="M243" s="540"/>
      <c r="N243" s="542"/>
      <c r="O243" s="544"/>
      <c r="P243" s="544"/>
      <c r="Q243" s="544"/>
      <c r="R243" s="544"/>
      <c r="S243" s="544"/>
      <c r="T243" s="544"/>
      <c r="U243" s="544"/>
    </row>
    <row r="244" spans="1:21" s="543" customFormat="1" ht="15" customHeight="1">
      <c r="A244" s="538"/>
      <c r="B244" s="537"/>
      <c r="C244" s="600" t="s">
        <v>550</v>
      </c>
      <c r="D244" s="601">
        <v>136</v>
      </c>
      <c r="E244" s="532">
        <f t="shared" si="9"/>
        <v>72200</v>
      </c>
      <c r="F244" s="540"/>
      <c r="G244" s="540"/>
      <c r="H244" s="540">
        <v>4100</v>
      </c>
      <c r="I244" s="540">
        <v>68100</v>
      </c>
      <c r="J244" s="540"/>
      <c r="K244" s="540"/>
      <c r="L244" s="540"/>
      <c r="M244" s="540"/>
      <c r="N244" s="542"/>
      <c r="O244" s="544"/>
      <c r="P244" s="544"/>
      <c r="Q244" s="544"/>
      <c r="R244" s="544"/>
      <c r="S244" s="544"/>
      <c r="T244" s="544"/>
      <c r="U244" s="544"/>
    </row>
    <row r="245" spans="1:21" s="543" customFormat="1" ht="15" customHeight="1">
      <c r="A245" s="538"/>
      <c r="B245" s="537"/>
      <c r="C245" s="600" t="s">
        <v>535</v>
      </c>
      <c r="D245" s="601">
        <v>207</v>
      </c>
      <c r="E245" s="532">
        <f t="shared" si="9"/>
        <v>64016</v>
      </c>
      <c r="F245" s="540"/>
      <c r="G245" s="540">
        <v>943</v>
      </c>
      <c r="H245" s="540">
        <v>3973</v>
      </c>
      <c r="I245" s="540">
        <v>59100</v>
      </c>
      <c r="J245" s="540"/>
      <c r="K245" s="540"/>
      <c r="L245" s="540"/>
      <c r="M245" s="540"/>
      <c r="N245" s="542"/>
      <c r="O245" s="544"/>
      <c r="P245" s="544"/>
      <c r="Q245" s="544"/>
      <c r="R245" s="544"/>
      <c r="S245" s="544"/>
      <c r="T245" s="544"/>
      <c r="U245" s="544"/>
    </row>
    <row r="246" spans="1:21" s="543" customFormat="1" ht="15" customHeight="1">
      <c r="A246" s="538">
        <v>932911</v>
      </c>
      <c r="B246" s="537" t="s">
        <v>69</v>
      </c>
      <c r="C246" s="602" t="s">
        <v>754</v>
      </c>
      <c r="D246" s="601">
        <v>37700</v>
      </c>
      <c r="E246" s="532">
        <f t="shared" si="9"/>
        <v>18350</v>
      </c>
      <c r="F246" s="540"/>
      <c r="G246" s="540"/>
      <c r="H246" s="540">
        <v>4538</v>
      </c>
      <c r="I246" s="540">
        <v>3198</v>
      </c>
      <c r="J246" s="540"/>
      <c r="K246" s="540"/>
      <c r="L246" s="540"/>
      <c r="M246" s="541"/>
      <c r="N246" s="542">
        <v>10614</v>
      </c>
      <c r="O246" s="544"/>
      <c r="P246" s="544"/>
      <c r="Q246" s="544"/>
      <c r="R246" s="544"/>
      <c r="S246" s="544"/>
      <c r="T246" s="544"/>
      <c r="U246" s="544"/>
    </row>
    <row r="247" spans="1:21" s="543" customFormat="1" ht="15" customHeight="1">
      <c r="A247" s="538"/>
      <c r="B247" s="537"/>
      <c r="C247" s="600" t="s">
        <v>550</v>
      </c>
      <c r="D247" s="601">
        <v>37700</v>
      </c>
      <c r="E247" s="532">
        <f t="shared" si="9"/>
        <v>48157</v>
      </c>
      <c r="F247" s="540"/>
      <c r="G247" s="540"/>
      <c r="H247" s="540">
        <v>16550</v>
      </c>
      <c r="I247" s="540">
        <v>3198</v>
      </c>
      <c r="J247" s="540"/>
      <c r="K247" s="540"/>
      <c r="L247" s="540">
        <v>10668</v>
      </c>
      <c r="M247" s="541">
        <v>17741</v>
      </c>
      <c r="N247" s="542"/>
      <c r="O247" s="544"/>
      <c r="P247" s="544"/>
      <c r="Q247" s="544"/>
      <c r="R247" s="544"/>
      <c r="S247" s="544"/>
      <c r="T247" s="544"/>
      <c r="U247" s="544"/>
    </row>
    <row r="248" spans="1:21" s="543" customFormat="1" ht="15" customHeight="1">
      <c r="A248" s="538"/>
      <c r="B248" s="537"/>
      <c r="C248" s="600" t="s">
        <v>535</v>
      </c>
      <c r="D248" s="601">
        <v>2060</v>
      </c>
      <c r="E248" s="532">
        <f t="shared" si="9"/>
        <v>27255</v>
      </c>
      <c r="F248" s="540"/>
      <c r="G248" s="540"/>
      <c r="H248" s="540">
        <v>3881</v>
      </c>
      <c r="I248" s="540">
        <v>3198</v>
      </c>
      <c r="J248" s="540"/>
      <c r="K248" s="540"/>
      <c r="L248" s="540">
        <v>2435</v>
      </c>
      <c r="M248" s="541">
        <v>17741</v>
      </c>
      <c r="N248" s="542"/>
      <c r="O248" s="544"/>
      <c r="P248" s="544"/>
      <c r="Q248" s="544"/>
      <c r="R248" s="544"/>
      <c r="S248" s="544"/>
      <c r="T248" s="544"/>
      <c r="U248" s="544"/>
    </row>
    <row r="249" spans="1:21" s="543" customFormat="1" ht="15" customHeight="1">
      <c r="A249" s="538">
        <v>940000</v>
      </c>
      <c r="B249" s="537" t="s">
        <v>146</v>
      </c>
      <c r="C249" s="602" t="s">
        <v>754</v>
      </c>
      <c r="D249" s="601"/>
      <c r="E249" s="532">
        <f t="shared" si="9"/>
        <v>27887</v>
      </c>
      <c r="F249" s="540"/>
      <c r="G249" s="540"/>
      <c r="H249" s="540"/>
      <c r="I249" s="540">
        <v>27887</v>
      </c>
      <c r="J249" s="540"/>
      <c r="K249" s="540"/>
      <c r="L249" s="540"/>
      <c r="M249" s="541"/>
      <c r="N249" s="542"/>
      <c r="O249" s="544"/>
      <c r="P249" s="544"/>
      <c r="Q249" s="544"/>
      <c r="R249" s="544"/>
      <c r="S249" s="544"/>
      <c r="T249" s="544"/>
      <c r="U249" s="544"/>
    </row>
    <row r="250" spans="1:21" s="543" customFormat="1" ht="15" customHeight="1">
      <c r="A250" s="538"/>
      <c r="B250" s="537"/>
      <c r="C250" s="600" t="s">
        <v>550</v>
      </c>
      <c r="D250" s="601"/>
      <c r="E250" s="532">
        <f t="shared" si="9"/>
        <v>27887</v>
      </c>
      <c r="F250" s="540"/>
      <c r="G250" s="540"/>
      <c r="H250" s="540"/>
      <c r="I250" s="540">
        <v>27887</v>
      </c>
      <c r="J250" s="540"/>
      <c r="K250" s="540"/>
      <c r="L250" s="540"/>
      <c r="M250" s="541"/>
      <c r="N250" s="542"/>
      <c r="O250" s="544"/>
      <c r="P250" s="544"/>
      <c r="Q250" s="544"/>
      <c r="R250" s="544"/>
      <c r="S250" s="544"/>
      <c r="T250" s="544"/>
      <c r="U250" s="544"/>
    </row>
    <row r="251" spans="1:21" s="543" customFormat="1" ht="15" customHeight="1">
      <c r="A251" s="538"/>
      <c r="B251" s="537"/>
      <c r="C251" s="600" t="s">
        <v>535</v>
      </c>
      <c r="D251" s="601"/>
      <c r="E251" s="532">
        <f t="shared" si="9"/>
        <v>27887</v>
      </c>
      <c r="F251" s="540"/>
      <c r="G251" s="540"/>
      <c r="H251" s="540"/>
      <c r="I251" s="540">
        <v>27887</v>
      </c>
      <c r="J251" s="540"/>
      <c r="K251" s="540"/>
      <c r="L251" s="540"/>
      <c r="M251" s="541"/>
      <c r="N251" s="542"/>
      <c r="O251" s="544"/>
      <c r="P251" s="544"/>
      <c r="Q251" s="544"/>
      <c r="R251" s="544"/>
      <c r="S251" s="544"/>
      <c r="T251" s="544"/>
      <c r="U251" s="544"/>
    </row>
    <row r="252" spans="1:21" s="543" customFormat="1" ht="15" customHeight="1">
      <c r="A252" s="538">
        <v>960302</v>
      </c>
      <c r="B252" s="537" t="s">
        <v>147</v>
      </c>
      <c r="C252" s="602" t="s">
        <v>754</v>
      </c>
      <c r="D252" s="601">
        <v>8760</v>
      </c>
      <c r="E252" s="532">
        <f t="shared" si="9"/>
        <v>20016</v>
      </c>
      <c r="F252" s="534"/>
      <c r="G252" s="534"/>
      <c r="H252" s="534">
        <v>17860</v>
      </c>
      <c r="I252" s="534">
        <v>156</v>
      </c>
      <c r="J252" s="534"/>
      <c r="K252" s="534"/>
      <c r="L252" s="534"/>
      <c r="M252" s="534"/>
      <c r="N252" s="535">
        <v>2000</v>
      </c>
      <c r="O252" s="544"/>
      <c r="P252" s="544"/>
      <c r="Q252" s="544"/>
      <c r="R252" s="544"/>
      <c r="S252" s="544"/>
      <c r="T252" s="544"/>
      <c r="U252" s="544"/>
    </row>
    <row r="253" spans="1:21" ht="15" customHeight="1">
      <c r="A253" s="608"/>
      <c r="B253" s="609"/>
      <c r="C253" s="600" t="s">
        <v>550</v>
      </c>
      <c r="D253" s="601">
        <v>8493</v>
      </c>
      <c r="E253" s="532">
        <f t="shared" si="9"/>
        <v>18316</v>
      </c>
      <c r="F253" s="563"/>
      <c r="G253" s="563"/>
      <c r="H253" s="610">
        <v>17860</v>
      </c>
      <c r="I253" s="610">
        <v>456</v>
      </c>
      <c r="J253" s="610"/>
      <c r="K253" s="610"/>
      <c r="L253" s="610"/>
      <c r="M253" s="610"/>
      <c r="N253" s="611"/>
      <c r="O253" s="607"/>
      <c r="P253" s="607"/>
      <c r="Q253" s="607"/>
      <c r="R253" s="607"/>
      <c r="S253" s="607"/>
      <c r="T253" s="607"/>
      <c r="U253" s="607"/>
    </row>
    <row r="254" spans="1:21" ht="15" customHeight="1">
      <c r="A254" s="608"/>
      <c r="B254" s="609"/>
      <c r="C254" s="600" t="s">
        <v>535</v>
      </c>
      <c r="D254" s="601">
        <v>9444</v>
      </c>
      <c r="E254" s="532">
        <f t="shared" si="9"/>
        <v>18328</v>
      </c>
      <c r="F254" s="563"/>
      <c r="G254" s="563"/>
      <c r="H254" s="610">
        <v>17872</v>
      </c>
      <c r="I254" s="610">
        <v>456</v>
      </c>
      <c r="J254" s="610" t="s">
        <v>77</v>
      </c>
      <c r="K254" s="610"/>
      <c r="L254" s="610"/>
      <c r="M254" s="610"/>
      <c r="N254" s="611"/>
      <c r="O254" s="607"/>
      <c r="P254" s="607"/>
      <c r="Q254" s="607"/>
      <c r="R254" s="607"/>
      <c r="S254" s="607"/>
      <c r="T254" s="607"/>
      <c r="U254" s="607"/>
    </row>
    <row r="255" spans="1:21" ht="15" customHeight="1">
      <c r="A255" s="1372" t="s">
        <v>1095</v>
      </c>
      <c r="B255" s="1373"/>
      <c r="C255" s="612" t="s">
        <v>753</v>
      </c>
      <c r="D255" s="613">
        <f>D9+D12+D15+D21+D24+D39+D42+D54+D57+D60+D63+D69+D78+D90+D96+D102+D111+D120+D132+D141+D159+D162+D165+D171+D177+D180+D198+D207+D210+D213+D216+D219+D222+D228+D231+D246+D252</f>
        <v>7850803</v>
      </c>
      <c r="E255" s="614">
        <f>E9+E12+E15+E18+E21+E24+E27+E30+E33+E36+E39+E42+E45+E48+E51+E54+E57+E60+E63+E66+E69+E72+E75+E78+E81+E84+E87+E90+E93+E96+E99+E102+E105+E108+E111+E114+E117+E120+E123+E126+E129+E132+E135+E141+E144+E147+E150+E153+E156+E159+E162+E165+E168+E171+E174+E177+E180+E183+E186+E189+E192+E195+E198+E201+E204+E207+E210+E213+E216+E219+E222+E225+E228+E231+E237+E240+E243+E246+E249+E252</f>
        <v>5896985</v>
      </c>
      <c r="F255" s="614">
        <f>F36+F72+F93+F111+F135+F228+F231</f>
        <v>54748</v>
      </c>
      <c r="G255" s="614">
        <f>G36+G66+G72+G75+G93+G111+G114+G171+G174+G225+G228+G231</f>
        <v>19514</v>
      </c>
      <c r="H255" s="614">
        <f>H9+H12+H15+H18+H24+H27+H30+H33+H36+H39+H42+H45+H48+H51+H54+H63+H66+H69+H72+H75+H78+H84+H87+H90+H93+H99+H102+H111+H114+H117+H123+H126+H141+H144+H147+H216+H225+H228+H231+H237+H243+H246+H252</f>
        <v>649120</v>
      </c>
      <c r="I255" s="614">
        <f>I9+I12+I15+I18+I21+I24+I27+I30+I42+I45+I48+I78+I81+I90+I93+I102+I111+I120+I129+I132+I150+I153+I156+I192+I207+I219+I237+I240+I243+I246+I249+I252</f>
        <v>416514</v>
      </c>
      <c r="J255" s="614">
        <f>J156+J159+J162+J165+J168+J171+J174+J177+J180+J183+J186+J189+J195+J198+J201+J204+J222+J225</f>
        <v>201850</v>
      </c>
      <c r="K255" s="614">
        <f>K15+K21</f>
        <v>32851</v>
      </c>
      <c r="L255" s="614">
        <f>L21+L24+L147+L216</f>
        <v>1533282</v>
      </c>
      <c r="M255" s="563">
        <f>M90+M102+M219</f>
        <v>138015</v>
      </c>
      <c r="N255" s="564">
        <f>N12+N15+N21+N24+N51+N63+N78+N84+N90+N93+N105+N108+N120+N132+N237+N246+N252</f>
        <v>2851091</v>
      </c>
      <c r="O255" s="607"/>
      <c r="P255" s="607"/>
      <c r="Q255" s="607"/>
      <c r="R255" s="607"/>
      <c r="S255" s="607"/>
      <c r="T255" s="607"/>
      <c r="U255" s="607"/>
    </row>
    <row r="256" spans="1:21" ht="12.75">
      <c r="A256" s="1385" t="s">
        <v>1095</v>
      </c>
      <c r="B256" s="1386"/>
      <c r="C256" s="615" t="s">
        <v>550</v>
      </c>
      <c r="D256" s="616">
        <f>SUM(D10+D16+D22+D25+D28+D40+D43+D55+D58+D61+D64+D70+D73+D79+D91+D97+D103+D112+D133+D142+D151+D160+D163+D166+D172+D178+D181+D199+D208+D211+D214+D217+D220+D223+D226+D232+D235+D238+D244+D247+D253)</f>
        <v>4654329</v>
      </c>
      <c r="E256" s="550">
        <f>SUM(E10+E13+E16+E19+E22+E25+E28+E31+E34+E37+E40+E43+E46+E49+E52+E55+E61+E64+E67+E70+E73+E76+E79+E85+E88+E91+E94+E100+E103+E106+E109+E112+E115+E118+E121+E124+E127+E130+E133+E136+E139+E142+E145+E148+E151+E154+E157+E169+E175+E184+E187+E190+E193+E196+E202+E205+E208+E217+E220+E226+E229+E232+E238+E241+E244+E247+E250+E253+E82)</f>
        <v>2481088</v>
      </c>
      <c r="F256" s="617">
        <f>SUM(F22+F25+F37+F55+F64+F73+F94+F112+F115+F136+F145+F148+F157+F217+F226+F229+F232+F238)</f>
        <v>73883</v>
      </c>
      <c r="G256" s="617">
        <f>SUM(G22+G25+G37+G55+G64+G67+G73+G76+G94+G112+G115+G145+G148+G157+G175+G217+G226+G229+G232+G238+G244)</f>
        <v>18277</v>
      </c>
      <c r="H256" s="617">
        <f>SUM(H10+H13+H16+H19+H22+H25+H28+H31+H34+H37+H40+H43+H46+H49+H52+H55+H61+H64+H67+H70+H73+H76+H79+H85+H88+H91+H94+H100+H103+H112+H115+H118+H124+H127+H133+H142+H145+H148+H157+H226+H229+H232+H238+H244+H247+H253)</f>
        <v>643714</v>
      </c>
      <c r="I256" s="617">
        <f>SUM(I10+I13+I16+I19+I22+I25+I28+I31+I37+I43+I46+I49+I55+I73+I79+I82+I91+I94+I103+I112+I115+I121+I130+I133+I139+I151+I154+I157+I193+I208+I220+I226+I238+I241+I244+I247+I250+I253)</f>
        <v>528590</v>
      </c>
      <c r="J256" s="617">
        <f>SUM(J16+J157+J169+J175+J184+J187+J190+J196+J202+J205+J226)</f>
        <v>65560</v>
      </c>
      <c r="K256" s="617">
        <f>SUM(K16+K22+K25+K79+K154)</f>
        <v>77434</v>
      </c>
      <c r="L256" s="617">
        <f>SUM(L16+L22+L25+L52+L55+L64+L85+L91+L94+L142+L148+L208+L217+L238+L247)</f>
        <v>750678</v>
      </c>
      <c r="M256" s="617">
        <f>SUM(M79+M91+M103+M220+M238+M247)</f>
        <v>200622</v>
      </c>
      <c r="N256" s="618">
        <f>SUM(N106+N109)</f>
        <v>122330</v>
      </c>
      <c r="O256" s="607"/>
      <c r="P256" s="607"/>
      <c r="Q256" s="607"/>
      <c r="R256" s="607"/>
      <c r="S256" s="607"/>
      <c r="T256" s="607"/>
      <c r="U256" s="607"/>
    </row>
    <row r="257" spans="1:21" ht="15.75" customHeight="1" thickBot="1">
      <c r="A257" s="1383" t="s">
        <v>1095</v>
      </c>
      <c r="B257" s="1384"/>
      <c r="C257" s="619" t="s">
        <v>535</v>
      </c>
      <c r="D257" s="621">
        <f>SUM(D11+D17+D23+D26+D29+D38+D41+D44+D56+D59+D62+D65+D71+D80+D89+D92+D98+D104+D113+D116+D119+D122+D134+D143+D152+D161+D164+D167+D173+D179+D182+D197+D200+D206+D209+D212+D215+D218+D221+D224+D227+D233+D236+D239+D245+D248+D254)</f>
        <v>4448763</v>
      </c>
      <c r="E257" s="568">
        <f>SUM(E11+E14+E17+E20+E23+E26+E29+E32+E35+E38+E41+E44+E47+E50+E53+E56+E62+E65+E68+E71+E74+E77+E80+E83+E86+E89+E92+E95+E101+E104+E113+E116+E119+E122+E125+E128+E131+E134+E137+E140+E143+E146+E149+E152+E155+E158+E170+E176+E185+E188+E191+E194+E203+E206+E209+E218+E221+E227+E230+E233+E239+E242+E245+E248+E251+E254)</f>
        <v>2001571</v>
      </c>
      <c r="F257" s="567">
        <f>SUM(F23+F26+F38+F56+F65+F74+F77+F92+F95+F113+F116+F119+F125+F137+F146+F149+F218+F227+F230+F233+F239)</f>
        <v>69893</v>
      </c>
      <c r="G257" s="567">
        <f>SUM(G23+G26+G38+G56+G65+G68+G74+G77+G80+G92+G95+G113+G116+G119+G131+G137+G146+G176+G218+G227+G230+G233+G239+G245)</f>
        <v>17610</v>
      </c>
      <c r="H257" s="567">
        <f>SUM(H11+H14+H17+H20+H23+H26+H29+H32+H35+H38+H41+H44+H47+H50+H53+H56+H62+H65+H68+H71+H74+H77+H80+H86+H89+H92+H95+H101+H104+H113+H116+H119+H125+H128+H131+H134+H143+H146+H149+H158+H176+H194+H206+H218+H221+H227+H233+H239+H245+H248+H254)</f>
        <v>556682</v>
      </c>
      <c r="I257" s="567">
        <f>SUM(I11+I14+I17+I20+I23+I26+I29+I32+I38+I44+I47+I50+I56+I74+I80+I83+I92+I104+I116+I122+I131+I134+I140+I152+I155+I158+I194+I209+I221+I227+I239+I242+I245+I248+I251+I254)</f>
        <v>853987</v>
      </c>
      <c r="J257" s="567">
        <f>SUM(J17+J32+J50+J158+J170+J176+J185+J188+J191+J194+J203+J206+J227)</f>
        <v>55195</v>
      </c>
      <c r="K257" s="567">
        <f>SUM(K17+K23+K26+K80+K155)</f>
        <v>68029</v>
      </c>
      <c r="L257" s="567">
        <f>SUM(L17+L23+L26+L53+L56+L65+L86+L92+L95+L149+L209+L218+L248)</f>
        <v>180469</v>
      </c>
      <c r="M257" s="567">
        <f>SUM(M80+M92+M104+M221+M239+M248)</f>
        <v>199706</v>
      </c>
      <c r="N257" s="620"/>
      <c r="O257" s="607"/>
      <c r="P257" s="607"/>
      <c r="Q257" s="607"/>
      <c r="R257" s="607"/>
      <c r="S257" s="607"/>
      <c r="T257" s="607"/>
      <c r="U257" s="607"/>
    </row>
    <row r="258" spans="6:21" ht="12.75">
      <c r="F258" s="507"/>
      <c r="G258" s="507"/>
      <c r="H258" s="507"/>
      <c r="I258" s="507"/>
      <c r="J258" s="507"/>
      <c r="K258" s="507"/>
      <c r="L258" s="507"/>
      <c r="M258" s="511"/>
      <c r="N258" s="507"/>
      <c r="O258" s="607"/>
      <c r="P258" s="607"/>
      <c r="Q258" s="607"/>
      <c r="R258" s="607"/>
      <c r="S258" s="607"/>
      <c r="T258" s="607"/>
      <c r="U258" s="607"/>
    </row>
    <row r="259" spans="6:21" ht="12.75">
      <c r="F259" s="507"/>
      <c r="G259" s="507"/>
      <c r="H259" s="507"/>
      <c r="I259" s="507"/>
      <c r="J259" s="507"/>
      <c r="K259" s="507"/>
      <c r="L259" s="507"/>
      <c r="M259" s="511"/>
      <c r="N259" s="507"/>
      <c r="O259" s="607"/>
      <c r="P259" s="607"/>
      <c r="Q259" s="607"/>
      <c r="R259" s="607"/>
      <c r="S259" s="607"/>
      <c r="T259" s="607"/>
      <c r="U259" s="607"/>
    </row>
    <row r="260" spans="6:21" ht="12.75">
      <c r="F260" s="507"/>
      <c r="G260" s="507"/>
      <c r="H260" s="507"/>
      <c r="I260" s="507"/>
      <c r="J260" s="507"/>
      <c r="K260" s="507"/>
      <c r="L260" s="507"/>
      <c r="M260" s="511"/>
      <c r="N260" s="507"/>
      <c r="O260" s="607"/>
      <c r="P260" s="607"/>
      <c r="Q260" s="607"/>
      <c r="R260" s="607"/>
      <c r="S260" s="607"/>
      <c r="T260" s="607"/>
      <c r="U260" s="607"/>
    </row>
    <row r="261" spans="6:21" ht="12.75">
      <c r="F261" s="507"/>
      <c r="G261" s="507"/>
      <c r="H261" s="507"/>
      <c r="I261" s="507"/>
      <c r="J261" s="507"/>
      <c r="K261" s="507"/>
      <c r="L261" s="507"/>
      <c r="M261" s="511"/>
      <c r="N261" s="507"/>
      <c r="O261" s="607"/>
      <c r="P261" s="607"/>
      <c r="Q261" s="607"/>
      <c r="R261" s="607"/>
      <c r="S261" s="607"/>
      <c r="T261" s="607"/>
      <c r="U261" s="607"/>
    </row>
    <row r="262" spans="6:21" ht="12.75">
      <c r="F262" s="507"/>
      <c r="G262" s="507"/>
      <c r="H262" s="507"/>
      <c r="I262" s="507"/>
      <c r="J262" s="507"/>
      <c r="K262" s="507"/>
      <c r="L262" s="507"/>
      <c r="M262" s="511"/>
      <c r="N262" s="507"/>
      <c r="O262" s="607"/>
      <c r="P262" s="607"/>
      <c r="Q262" s="607"/>
      <c r="R262" s="607"/>
      <c r="S262" s="607"/>
      <c r="T262" s="607"/>
      <c r="U262" s="607"/>
    </row>
    <row r="263" spans="6:21" ht="12.75">
      <c r="F263" s="507"/>
      <c r="G263" s="507"/>
      <c r="H263" s="507"/>
      <c r="I263" s="507"/>
      <c r="J263" s="507"/>
      <c r="K263" s="507"/>
      <c r="L263" s="507"/>
      <c r="M263" s="511"/>
      <c r="N263" s="507"/>
      <c r="O263" s="607"/>
      <c r="P263" s="607"/>
      <c r="Q263" s="607"/>
      <c r="R263" s="607"/>
      <c r="S263" s="607"/>
      <c r="T263" s="607"/>
      <c r="U263" s="607"/>
    </row>
    <row r="264" spans="6:21" ht="12.75">
      <c r="F264" s="507"/>
      <c r="G264" s="507"/>
      <c r="H264" s="507"/>
      <c r="I264" s="507"/>
      <c r="J264" s="507"/>
      <c r="K264" s="507"/>
      <c r="L264" s="507"/>
      <c r="M264" s="511"/>
      <c r="N264" s="507"/>
      <c r="O264" s="607"/>
      <c r="P264" s="607"/>
      <c r="Q264" s="607"/>
      <c r="R264" s="607"/>
      <c r="S264" s="607"/>
      <c r="T264" s="607"/>
      <c r="U264" s="607"/>
    </row>
    <row r="265" spans="6:21" ht="12.75">
      <c r="F265" s="507"/>
      <c r="G265" s="507"/>
      <c r="H265" s="507"/>
      <c r="I265" s="507"/>
      <c r="J265" s="507"/>
      <c r="K265" s="507"/>
      <c r="L265" s="507"/>
      <c r="M265" s="511"/>
      <c r="N265" s="507"/>
      <c r="O265" s="607"/>
      <c r="P265" s="607"/>
      <c r="Q265" s="607"/>
      <c r="R265" s="607"/>
      <c r="S265" s="607"/>
      <c r="T265" s="607"/>
      <c r="U265" s="607"/>
    </row>
    <row r="266" spans="6:21" ht="12.75">
      <c r="F266" s="507"/>
      <c r="G266" s="507"/>
      <c r="H266" s="507"/>
      <c r="I266" s="507"/>
      <c r="J266" s="507"/>
      <c r="K266" s="507"/>
      <c r="L266" s="507"/>
      <c r="M266" s="511"/>
      <c r="N266" s="507"/>
      <c r="O266" s="607"/>
      <c r="P266" s="607"/>
      <c r="Q266" s="607"/>
      <c r="R266" s="607"/>
      <c r="S266" s="607"/>
      <c r="T266" s="607"/>
      <c r="U266" s="607"/>
    </row>
    <row r="267" spans="6:21" ht="12.75">
      <c r="F267" s="507"/>
      <c r="G267" s="507"/>
      <c r="H267" s="507"/>
      <c r="I267" s="507"/>
      <c r="J267" s="507"/>
      <c r="K267" s="507"/>
      <c r="L267" s="507"/>
      <c r="M267" s="511"/>
      <c r="N267" s="507"/>
      <c r="O267" s="607"/>
      <c r="P267" s="607"/>
      <c r="Q267" s="607"/>
      <c r="R267" s="607"/>
      <c r="S267" s="607"/>
      <c r="T267" s="607"/>
      <c r="U267" s="607"/>
    </row>
    <row r="268" spans="6:21" ht="12.75">
      <c r="F268" s="507"/>
      <c r="G268" s="507"/>
      <c r="H268" s="507"/>
      <c r="I268" s="507"/>
      <c r="J268" s="507"/>
      <c r="K268" s="507"/>
      <c r="L268" s="507"/>
      <c r="M268" s="511"/>
      <c r="N268" s="507"/>
      <c r="O268" s="607"/>
      <c r="P268" s="607"/>
      <c r="Q268" s="607"/>
      <c r="R268" s="607"/>
      <c r="S268" s="607"/>
      <c r="T268" s="607"/>
      <c r="U268" s="607"/>
    </row>
    <row r="269" spans="6:21" ht="12.75">
      <c r="F269" s="507"/>
      <c r="G269" s="507"/>
      <c r="H269" s="507"/>
      <c r="I269" s="507"/>
      <c r="J269" s="507"/>
      <c r="K269" s="507"/>
      <c r="L269" s="507"/>
      <c r="M269" s="511"/>
      <c r="N269" s="507"/>
      <c r="O269" s="607"/>
      <c r="P269" s="607"/>
      <c r="Q269" s="607"/>
      <c r="R269" s="607"/>
      <c r="S269" s="607"/>
      <c r="T269" s="607"/>
      <c r="U269" s="607"/>
    </row>
    <row r="270" spans="6:21" ht="12.75">
      <c r="F270" s="507"/>
      <c r="G270" s="507"/>
      <c r="H270" s="507"/>
      <c r="I270" s="507"/>
      <c r="J270" s="507"/>
      <c r="K270" s="507"/>
      <c r="L270" s="507"/>
      <c r="M270" s="511"/>
      <c r="N270" s="507"/>
      <c r="O270" s="607"/>
      <c r="P270" s="607"/>
      <c r="Q270" s="607"/>
      <c r="R270" s="607"/>
      <c r="S270" s="607"/>
      <c r="T270" s="607"/>
      <c r="U270" s="607"/>
    </row>
    <row r="271" spans="6:21" ht="12.75">
      <c r="F271" s="507"/>
      <c r="G271" s="507"/>
      <c r="H271" s="507"/>
      <c r="I271" s="507"/>
      <c r="J271" s="507"/>
      <c r="K271" s="507"/>
      <c r="L271" s="507"/>
      <c r="M271" s="511"/>
      <c r="N271" s="507"/>
      <c r="O271" s="607"/>
      <c r="P271" s="607"/>
      <c r="Q271" s="607"/>
      <c r="R271" s="607"/>
      <c r="S271" s="607"/>
      <c r="T271" s="607"/>
      <c r="U271" s="607"/>
    </row>
    <row r="272" spans="6:21" ht="12.75">
      <c r="F272" s="507"/>
      <c r="G272" s="507"/>
      <c r="H272" s="507"/>
      <c r="I272" s="507"/>
      <c r="J272" s="507"/>
      <c r="K272" s="507"/>
      <c r="L272" s="507"/>
      <c r="M272" s="511"/>
      <c r="N272" s="507"/>
      <c r="O272" s="607"/>
      <c r="P272" s="607"/>
      <c r="Q272" s="607"/>
      <c r="R272" s="607"/>
      <c r="S272" s="607"/>
      <c r="T272" s="607"/>
      <c r="U272" s="607"/>
    </row>
    <row r="273" spans="6:21" ht="12.75">
      <c r="F273" s="507"/>
      <c r="G273" s="507"/>
      <c r="H273" s="507"/>
      <c r="I273" s="507"/>
      <c r="J273" s="507"/>
      <c r="K273" s="507"/>
      <c r="L273" s="507"/>
      <c r="M273" s="511"/>
      <c r="N273" s="507"/>
      <c r="O273" s="607"/>
      <c r="P273" s="607"/>
      <c r="Q273" s="607"/>
      <c r="R273" s="607"/>
      <c r="S273" s="607"/>
      <c r="T273" s="607"/>
      <c r="U273" s="607"/>
    </row>
    <row r="274" spans="6:21" ht="12.75">
      <c r="F274" s="507"/>
      <c r="G274" s="507"/>
      <c r="H274" s="507"/>
      <c r="I274" s="507"/>
      <c r="J274" s="507"/>
      <c r="K274" s="507"/>
      <c r="L274" s="507"/>
      <c r="M274" s="511"/>
      <c r="N274" s="507"/>
      <c r="O274" s="607"/>
      <c r="P274" s="607"/>
      <c r="Q274" s="607"/>
      <c r="R274" s="607"/>
      <c r="S274" s="607"/>
      <c r="T274" s="607"/>
      <c r="U274" s="607"/>
    </row>
    <row r="275" spans="6:21" ht="12.75">
      <c r="F275" s="507"/>
      <c r="G275" s="507"/>
      <c r="H275" s="507"/>
      <c r="I275" s="507"/>
      <c r="J275" s="507"/>
      <c r="K275" s="507"/>
      <c r="L275" s="507"/>
      <c r="M275" s="511"/>
      <c r="N275" s="507"/>
      <c r="O275" s="607"/>
      <c r="P275" s="607"/>
      <c r="Q275" s="607"/>
      <c r="R275" s="607"/>
      <c r="S275" s="607"/>
      <c r="T275" s="607"/>
      <c r="U275" s="607"/>
    </row>
    <row r="276" spans="6:21" ht="12.75">
      <c r="F276" s="507"/>
      <c r="G276" s="507"/>
      <c r="H276" s="507"/>
      <c r="I276" s="507"/>
      <c r="J276" s="507"/>
      <c r="K276" s="507"/>
      <c r="L276" s="507"/>
      <c r="M276" s="511"/>
      <c r="N276" s="507"/>
      <c r="O276" s="607"/>
      <c r="P276" s="607"/>
      <c r="Q276" s="607"/>
      <c r="R276" s="607"/>
      <c r="S276" s="607"/>
      <c r="T276" s="607"/>
      <c r="U276" s="607"/>
    </row>
    <row r="277" spans="6:21" ht="12.75">
      <c r="F277" s="507"/>
      <c r="G277" s="507"/>
      <c r="H277" s="507"/>
      <c r="I277" s="507"/>
      <c r="J277" s="507"/>
      <c r="K277" s="507"/>
      <c r="L277" s="507"/>
      <c r="M277" s="511"/>
      <c r="N277" s="507"/>
      <c r="O277" s="607"/>
      <c r="P277" s="607"/>
      <c r="Q277" s="607"/>
      <c r="R277" s="607"/>
      <c r="S277" s="607"/>
      <c r="T277" s="607"/>
      <c r="U277" s="607"/>
    </row>
    <row r="278" spans="6:21" ht="12.75">
      <c r="F278" s="507"/>
      <c r="G278" s="507"/>
      <c r="H278" s="507"/>
      <c r="I278" s="507"/>
      <c r="J278" s="507"/>
      <c r="K278" s="507"/>
      <c r="L278" s="507"/>
      <c r="M278" s="511"/>
      <c r="N278" s="507"/>
      <c r="O278" s="607"/>
      <c r="P278" s="607"/>
      <c r="Q278" s="607"/>
      <c r="R278" s="607"/>
      <c r="S278" s="607"/>
      <c r="T278" s="607"/>
      <c r="U278" s="607"/>
    </row>
    <row r="279" spans="6:21" ht="12.75">
      <c r="F279" s="507"/>
      <c r="G279" s="507"/>
      <c r="H279" s="507"/>
      <c r="I279" s="507"/>
      <c r="J279" s="507"/>
      <c r="K279" s="507"/>
      <c r="L279" s="507"/>
      <c r="M279" s="511"/>
      <c r="N279" s="507"/>
      <c r="O279" s="607"/>
      <c r="P279" s="607"/>
      <c r="Q279" s="607"/>
      <c r="R279" s="607"/>
      <c r="S279" s="607"/>
      <c r="T279" s="607"/>
      <c r="U279" s="607"/>
    </row>
    <row r="280" spans="6:21" ht="12.75">
      <c r="F280" s="507"/>
      <c r="G280" s="507"/>
      <c r="H280" s="507"/>
      <c r="I280" s="507"/>
      <c r="J280" s="507"/>
      <c r="K280" s="507"/>
      <c r="L280" s="507"/>
      <c r="M280" s="511"/>
      <c r="N280" s="507"/>
      <c r="O280" s="607"/>
      <c r="P280" s="607"/>
      <c r="Q280" s="607"/>
      <c r="R280" s="607"/>
      <c r="S280" s="607"/>
      <c r="T280" s="607"/>
      <c r="U280" s="607"/>
    </row>
    <row r="281" spans="6:21" ht="12.75">
      <c r="F281" s="507"/>
      <c r="G281" s="507"/>
      <c r="H281" s="507"/>
      <c r="I281" s="507"/>
      <c r="J281" s="507"/>
      <c r="K281" s="507"/>
      <c r="L281" s="507"/>
      <c r="M281" s="511"/>
      <c r="N281" s="507"/>
      <c r="O281" s="607"/>
      <c r="P281" s="607"/>
      <c r="Q281" s="607"/>
      <c r="R281" s="607"/>
      <c r="S281" s="607"/>
      <c r="T281" s="607"/>
      <c r="U281" s="607"/>
    </row>
    <row r="282" spans="6:21" ht="12.75">
      <c r="F282" s="507"/>
      <c r="G282" s="507"/>
      <c r="H282" s="507"/>
      <c r="I282" s="507"/>
      <c r="J282" s="507"/>
      <c r="K282" s="507"/>
      <c r="L282" s="507"/>
      <c r="M282" s="511"/>
      <c r="N282" s="507"/>
      <c r="O282" s="607"/>
      <c r="P282" s="607"/>
      <c r="Q282" s="607"/>
      <c r="R282" s="607"/>
      <c r="S282" s="607"/>
      <c r="T282" s="607"/>
      <c r="U282" s="607"/>
    </row>
    <row r="283" spans="6:21" ht="12.75">
      <c r="F283" s="507"/>
      <c r="G283" s="507"/>
      <c r="H283" s="507"/>
      <c r="I283" s="507"/>
      <c r="J283" s="507"/>
      <c r="K283" s="507"/>
      <c r="L283" s="507"/>
      <c r="M283" s="511"/>
      <c r="N283" s="507"/>
      <c r="O283" s="607"/>
      <c r="P283" s="607"/>
      <c r="Q283" s="607"/>
      <c r="R283" s="607"/>
      <c r="S283" s="607"/>
      <c r="T283" s="607"/>
      <c r="U283" s="607"/>
    </row>
    <row r="284" spans="6:21" ht="12.75">
      <c r="F284" s="507"/>
      <c r="G284" s="507"/>
      <c r="H284" s="507"/>
      <c r="I284" s="507"/>
      <c r="J284" s="507"/>
      <c r="K284" s="507"/>
      <c r="L284" s="507"/>
      <c r="M284" s="511"/>
      <c r="N284" s="507"/>
      <c r="O284" s="607"/>
      <c r="P284" s="607"/>
      <c r="Q284" s="607"/>
      <c r="R284" s="607"/>
      <c r="S284" s="607"/>
      <c r="T284" s="607"/>
      <c r="U284" s="607"/>
    </row>
    <row r="285" spans="6:21" ht="12.75">
      <c r="F285" s="507"/>
      <c r="G285" s="507"/>
      <c r="H285" s="507"/>
      <c r="I285" s="507"/>
      <c r="J285" s="507"/>
      <c r="K285" s="507"/>
      <c r="L285" s="507"/>
      <c r="M285" s="511"/>
      <c r="N285" s="507"/>
      <c r="O285" s="607"/>
      <c r="P285" s="607"/>
      <c r="Q285" s="607"/>
      <c r="R285" s="607"/>
      <c r="S285" s="607"/>
      <c r="T285" s="607"/>
      <c r="U285" s="607"/>
    </row>
    <row r="286" spans="6:21" ht="12.75">
      <c r="F286" s="507"/>
      <c r="G286" s="507"/>
      <c r="H286" s="507"/>
      <c r="I286" s="507"/>
      <c r="J286" s="507"/>
      <c r="K286" s="507"/>
      <c r="L286" s="507"/>
      <c r="M286" s="511"/>
      <c r="N286" s="507"/>
      <c r="O286" s="607"/>
      <c r="P286" s="607"/>
      <c r="Q286" s="607"/>
      <c r="R286" s="607"/>
      <c r="S286" s="607"/>
      <c r="T286" s="607"/>
      <c r="U286" s="607"/>
    </row>
    <row r="287" spans="6:21" ht="12.75">
      <c r="F287" s="507"/>
      <c r="G287" s="507"/>
      <c r="H287" s="507"/>
      <c r="I287" s="507"/>
      <c r="J287" s="507"/>
      <c r="K287" s="507"/>
      <c r="L287" s="507"/>
      <c r="M287" s="511"/>
      <c r="N287" s="507"/>
      <c r="O287" s="607"/>
      <c r="P287" s="607"/>
      <c r="Q287" s="607"/>
      <c r="R287" s="607"/>
      <c r="S287" s="607"/>
      <c r="T287" s="607"/>
      <c r="U287" s="607"/>
    </row>
    <row r="288" spans="6:21" ht="12.75">
      <c r="F288" s="507"/>
      <c r="G288" s="507"/>
      <c r="H288" s="507"/>
      <c r="I288" s="507"/>
      <c r="J288" s="507"/>
      <c r="K288" s="507"/>
      <c r="L288" s="507"/>
      <c r="M288" s="511"/>
      <c r="N288" s="507"/>
      <c r="O288" s="607"/>
      <c r="P288" s="607"/>
      <c r="Q288" s="607"/>
      <c r="R288" s="607"/>
      <c r="S288" s="607"/>
      <c r="T288" s="607"/>
      <c r="U288" s="607"/>
    </row>
    <row r="289" spans="6:21" ht="12.75">
      <c r="F289" s="507"/>
      <c r="G289" s="507"/>
      <c r="H289" s="507"/>
      <c r="I289" s="507"/>
      <c r="J289" s="507"/>
      <c r="K289" s="507"/>
      <c r="L289" s="507"/>
      <c r="M289" s="511"/>
      <c r="N289" s="507"/>
      <c r="O289" s="607"/>
      <c r="P289" s="607"/>
      <c r="Q289" s="607"/>
      <c r="R289" s="607"/>
      <c r="S289" s="607"/>
      <c r="T289" s="607"/>
      <c r="U289" s="607"/>
    </row>
    <row r="290" spans="6:21" ht="12.75">
      <c r="F290" s="507"/>
      <c r="G290" s="507"/>
      <c r="H290" s="507"/>
      <c r="I290" s="507"/>
      <c r="J290" s="507"/>
      <c r="K290" s="507"/>
      <c r="L290" s="507"/>
      <c r="M290" s="511"/>
      <c r="N290" s="507"/>
      <c r="O290" s="607"/>
      <c r="P290" s="607"/>
      <c r="Q290" s="607"/>
      <c r="R290" s="607"/>
      <c r="S290" s="607"/>
      <c r="T290" s="607"/>
      <c r="U290" s="607"/>
    </row>
    <row r="291" spans="6:21" ht="12.75">
      <c r="F291" s="507"/>
      <c r="G291" s="507"/>
      <c r="H291" s="507"/>
      <c r="I291" s="507"/>
      <c r="J291" s="507"/>
      <c r="K291" s="507"/>
      <c r="L291" s="507"/>
      <c r="M291" s="511"/>
      <c r="N291" s="507"/>
      <c r="O291" s="607"/>
      <c r="P291" s="607"/>
      <c r="Q291" s="607"/>
      <c r="R291" s="607"/>
      <c r="S291" s="607"/>
      <c r="T291" s="607"/>
      <c r="U291" s="607"/>
    </row>
    <row r="292" spans="6:21" ht="12.75">
      <c r="F292" s="507"/>
      <c r="G292" s="507"/>
      <c r="H292" s="507"/>
      <c r="I292" s="507"/>
      <c r="J292" s="507"/>
      <c r="K292" s="507"/>
      <c r="L292" s="507"/>
      <c r="M292" s="511"/>
      <c r="N292" s="507"/>
      <c r="O292" s="607"/>
      <c r="P292" s="607"/>
      <c r="Q292" s="607"/>
      <c r="R292" s="607"/>
      <c r="S292" s="607"/>
      <c r="T292" s="607"/>
      <c r="U292" s="607"/>
    </row>
    <row r="293" spans="6:21" ht="12.75">
      <c r="F293" s="507"/>
      <c r="G293" s="507"/>
      <c r="H293" s="507"/>
      <c r="I293" s="507"/>
      <c r="J293" s="507"/>
      <c r="K293" s="507"/>
      <c r="L293" s="507"/>
      <c r="M293" s="511"/>
      <c r="N293" s="507"/>
      <c r="O293" s="607"/>
      <c r="P293" s="607"/>
      <c r="Q293" s="607"/>
      <c r="R293" s="607"/>
      <c r="S293" s="607"/>
      <c r="T293" s="607"/>
      <c r="U293" s="607"/>
    </row>
    <row r="294" spans="6:21" ht="12.75">
      <c r="F294" s="507"/>
      <c r="G294" s="507"/>
      <c r="H294" s="507"/>
      <c r="I294" s="507"/>
      <c r="J294" s="507"/>
      <c r="K294" s="507"/>
      <c r="L294" s="507"/>
      <c r="M294" s="511"/>
      <c r="N294" s="507"/>
      <c r="O294" s="607"/>
      <c r="P294" s="607"/>
      <c r="Q294" s="607"/>
      <c r="R294" s="607"/>
      <c r="S294" s="607"/>
      <c r="T294" s="607"/>
      <c r="U294" s="607"/>
    </row>
    <row r="295" spans="6:21" ht="12.75">
      <c r="F295" s="507"/>
      <c r="G295" s="507"/>
      <c r="H295" s="507"/>
      <c r="I295" s="507"/>
      <c r="J295" s="507"/>
      <c r="K295" s="507"/>
      <c r="L295" s="507"/>
      <c r="M295" s="511"/>
      <c r="N295" s="507"/>
      <c r="O295" s="607"/>
      <c r="P295" s="607"/>
      <c r="Q295" s="607"/>
      <c r="R295" s="607"/>
      <c r="S295" s="607"/>
      <c r="T295" s="607"/>
      <c r="U295" s="607"/>
    </row>
    <row r="296" spans="6:21" ht="12.75">
      <c r="F296" s="507"/>
      <c r="G296" s="507"/>
      <c r="H296" s="507"/>
      <c r="I296" s="507"/>
      <c r="J296" s="507"/>
      <c r="K296" s="507"/>
      <c r="L296" s="507"/>
      <c r="M296" s="511"/>
      <c r="N296" s="507"/>
      <c r="O296" s="607"/>
      <c r="P296" s="607"/>
      <c r="Q296" s="607"/>
      <c r="R296" s="607"/>
      <c r="S296" s="607"/>
      <c r="T296" s="607"/>
      <c r="U296" s="607"/>
    </row>
    <row r="297" spans="6:21" ht="12.75">
      <c r="F297" s="507"/>
      <c r="G297" s="507"/>
      <c r="H297" s="507"/>
      <c r="I297" s="507"/>
      <c r="J297" s="507"/>
      <c r="K297" s="507"/>
      <c r="L297" s="507"/>
      <c r="M297" s="511"/>
      <c r="N297" s="507"/>
      <c r="O297" s="607"/>
      <c r="P297" s="607"/>
      <c r="Q297" s="607"/>
      <c r="R297" s="607"/>
      <c r="S297" s="607"/>
      <c r="T297" s="607"/>
      <c r="U297" s="607"/>
    </row>
    <row r="298" spans="6:21" ht="12.75">
      <c r="F298" s="507"/>
      <c r="G298" s="507"/>
      <c r="H298" s="507"/>
      <c r="I298" s="507"/>
      <c r="J298" s="507"/>
      <c r="K298" s="507"/>
      <c r="L298" s="507"/>
      <c r="M298" s="511"/>
      <c r="N298" s="507"/>
      <c r="O298" s="607"/>
      <c r="P298" s="607"/>
      <c r="Q298" s="607"/>
      <c r="R298" s="607"/>
      <c r="S298" s="607"/>
      <c r="T298" s="607"/>
      <c r="U298" s="607"/>
    </row>
    <row r="299" spans="6:21" ht="12.75">
      <c r="F299" s="507"/>
      <c r="G299" s="507"/>
      <c r="H299" s="507"/>
      <c r="I299" s="507"/>
      <c r="J299" s="507"/>
      <c r="K299" s="507"/>
      <c r="L299" s="507"/>
      <c r="M299" s="511"/>
      <c r="N299" s="507"/>
      <c r="O299" s="607"/>
      <c r="P299" s="607"/>
      <c r="Q299" s="607"/>
      <c r="R299" s="607"/>
      <c r="S299" s="607"/>
      <c r="T299" s="607"/>
      <c r="U299" s="607"/>
    </row>
    <row r="300" spans="6:21" ht="12.75">
      <c r="F300" s="507"/>
      <c r="G300" s="507"/>
      <c r="H300" s="507"/>
      <c r="I300" s="507"/>
      <c r="J300" s="507"/>
      <c r="K300" s="507"/>
      <c r="L300" s="507"/>
      <c r="M300" s="511"/>
      <c r="N300" s="507"/>
      <c r="O300" s="607"/>
      <c r="P300" s="607"/>
      <c r="Q300" s="607"/>
      <c r="R300" s="607"/>
      <c r="S300" s="607"/>
      <c r="T300" s="607"/>
      <c r="U300" s="607"/>
    </row>
    <row r="301" spans="6:21" ht="12.75">
      <c r="F301" s="507"/>
      <c r="G301" s="507"/>
      <c r="H301" s="507"/>
      <c r="I301" s="507"/>
      <c r="J301" s="507"/>
      <c r="K301" s="507"/>
      <c r="L301" s="507"/>
      <c r="M301" s="511"/>
      <c r="N301" s="507"/>
      <c r="O301" s="607"/>
      <c r="P301" s="607"/>
      <c r="Q301" s="607"/>
      <c r="R301" s="607"/>
      <c r="S301" s="607"/>
      <c r="T301" s="607"/>
      <c r="U301" s="607"/>
    </row>
    <row r="302" spans="6:21" ht="12.75">
      <c r="F302" s="507"/>
      <c r="G302" s="507"/>
      <c r="H302" s="507"/>
      <c r="I302" s="507"/>
      <c r="J302" s="507"/>
      <c r="K302" s="507"/>
      <c r="L302" s="507"/>
      <c r="M302" s="511"/>
      <c r="N302" s="507"/>
      <c r="O302" s="607"/>
      <c r="P302" s="607"/>
      <c r="Q302" s="607"/>
      <c r="R302" s="607"/>
      <c r="S302" s="607"/>
      <c r="T302" s="607"/>
      <c r="U302" s="607"/>
    </row>
    <row r="303" spans="6:21" ht="12.75">
      <c r="F303" s="507"/>
      <c r="G303" s="507"/>
      <c r="H303" s="507"/>
      <c r="I303" s="507"/>
      <c r="J303" s="507"/>
      <c r="K303" s="507"/>
      <c r="L303" s="507"/>
      <c r="M303" s="511"/>
      <c r="N303" s="507"/>
      <c r="O303" s="607"/>
      <c r="P303" s="607"/>
      <c r="Q303" s="607"/>
      <c r="R303" s="607"/>
      <c r="S303" s="607"/>
      <c r="T303" s="607"/>
      <c r="U303" s="607"/>
    </row>
    <row r="304" spans="6:21" ht="12.75">
      <c r="F304" s="507"/>
      <c r="G304" s="507"/>
      <c r="H304" s="507"/>
      <c r="I304" s="507"/>
      <c r="J304" s="507"/>
      <c r="K304" s="507"/>
      <c r="L304" s="507"/>
      <c r="M304" s="511"/>
      <c r="N304" s="507"/>
      <c r="O304" s="607"/>
      <c r="P304" s="607"/>
      <c r="Q304" s="607"/>
      <c r="R304" s="607"/>
      <c r="S304" s="607"/>
      <c r="T304" s="607"/>
      <c r="U304" s="607"/>
    </row>
    <row r="305" spans="6:21" ht="12.75">
      <c r="F305" s="507"/>
      <c r="G305" s="507"/>
      <c r="H305" s="507"/>
      <c r="I305" s="507"/>
      <c r="J305" s="507"/>
      <c r="K305" s="507"/>
      <c r="L305" s="507"/>
      <c r="M305" s="511"/>
      <c r="N305" s="507"/>
      <c r="O305" s="607"/>
      <c r="P305" s="607"/>
      <c r="Q305" s="607"/>
      <c r="R305" s="607"/>
      <c r="S305" s="607"/>
      <c r="T305" s="607"/>
      <c r="U305" s="607"/>
    </row>
    <row r="306" spans="6:21" ht="12.75">
      <c r="F306" s="507"/>
      <c r="G306" s="507"/>
      <c r="H306" s="507"/>
      <c r="I306" s="507"/>
      <c r="J306" s="507"/>
      <c r="K306" s="507"/>
      <c r="L306" s="507"/>
      <c r="M306" s="511"/>
      <c r="N306" s="507"/>
      <c r="O306" s="607"/>
      <c r="P306" s="607"/>
      <c r="Q306" s="607"/>
      <c r="R306" s="607"/>
      <c r="S306" s="607"/>
      <c r="T306" s="607"/>
      <c r="U306" s="607"/>
    </row>
    <row r="307" spans="6:21" ht="12.75">
      <c r="F307" s="507"/>
      <c r="G307" s="507"/>
      <c r="H307" s="507"/>
      <c r="I307" s="507"/>
      <c r="J307" s="507"/>
      <c r="K307" s="507"/>
      <c r="L307" s="507"/>
      <c r="M307" s="511"/>
      <c r="N307" s="507"/>
      <c r="O307" s="607"/>
      <c r="P307" s="607"/>
      <c r="Q307" s="607"/>
      <c r="R307" s="607"/>
      <c r="S307" s="607"/>
      <c r="T307" s="607"/>
      <c r="U307" s="607"/>
    </row>
    <row r="308" spans="6:21" ht="12.75">
      <c r="F308" s="507"/>
      <c r="G308" s="507"/>
      <c r="H308" s="507"/>
      <c r="I308" s="507"/>
      <c r="J308" s="507"/>
      <c r="K308" s="507"/>
      <c r="L308" s="507"/>
      <c r="M308" s="511"/>
      <c r="N308" s="507"/>
      <c r="O308" s="607"/>
      <c r="P308" s="607"/>
      <c r="Q308" s="607"/>
      <c r="R308" s="607"/>
      <c r="S308" s="607"/>
      <c r="T308" s="607"/>
      <c r="U308" s="607"/>
    </row>
    <row r="309" spans="6:21" ht="12.75">
      <c r="F309" s="507"/>
      <c r="G309" s="507"/>
      <c r="H309" s="507"/>
      <c r="I309" s="507"/>
      <c r="J309" s="507"/>
      <c r="K309" s="507"/>
      <c r="L309" s="507"/>
      <c r="M309" s="511"/>
      <c r="N309" s="507"/>
      <c r="O309" s="607"/>
      <c r="P309" s="607"/>
      <c r="Q309" s="607"/>
      <c r="R309" s="607"/>
      <c r="S309" s="607"/>
      <c r="T309" s="607"/>
      <c r="U309" s="607"/>
    </row>
    <row r="310" spans="6:21" ht="12.75">
      <c r="F310" s="507"/>
      <c r="G310" s="507"/>
      <c r="H310" s="507"/>
      <c r="I310" s="507"/>
      <c r="J310" s="507"/>
      <c r="K310" s="507"/>
      <c r="L310" s="507"/>
      <c r="M310" s="511"/>
      <c r="N310" s="507"/>
      <c r="O310" s="607"/>
      <c r="P310" s="607"/>
      <c r="Q310" s="607"/>
      <c r="R310" s="607"/>
      <c r="S310" s="607"/>
      <c r="T310" s="607"/>
      <c r="U310" s="607"/>
    </row>
    <row r="311" spans="6:21" ht="12.75">
      <c r="F311" s="507"/>
      <c r="G311" s="507"/>
      <c r="H311" s="507"/>
      <c r="I311" s="507"/>
      <c r="J311" s="507"/>
      <c r="K311" s="507"/>
      <c r="L311" s="507"/>
      <c r="M311" s="511"/>
      <c r="N311" s="507"/>
      <c r="O311" s="607"/>
      <c r="P311" s="607"/>
      <c r="Q311" s="607"/>
      <c r="R311" s="607"/>
      <c r="S311" s="607"/>
      <c r="T311" s="607"/>
      <c r="U311" s="607"/>
    </row>
    <row r="312" spans="6:21" ht="12.75">
      <c r="F312" s="507"/>
      <c r="G312" s="507"/>
      <c r="H312" s="507"/>
      <c r="I312" s="507"/>
      <c r="J312" s="507"/>
      <c r="K312" s="507"/>
      <c r="L312" s="507"/>
      <c r="M312" s="511"/>
      <c r="N312" s="507"/>
      <c r="O312" s="607"/>
      <c r="P312" s="607"/>
      <c r="Q312" s="607"/>
      <c r="R312" s="607"/>
      <c r="S312" s="607"/>
      <c r="T312" s="607"/>
      <c r="U312" s="607"/>
    </row>
    <row r="313" spans="6:21" ht="12.75">
      <c r="F313" s="507"/>
      <c r="G313" s="507"/>
      <c r="H313" s="507"/>
      <c r="I313" s="507"/>
      <c r="J313" s="507"/>
      <c r="K313" s="507"/>
      <c r="L313" s="507"/>
      <c r="M313" s="511"/>
      <c r="N313" s="507"/>
      <c r="O313" s="607"/>
      <c r="P313" s="607"/>
      <c r="Q313" s="607"/>
      <c r="R313" s="607"/>
      <c r="S313" s="607"/>
      <c r="T313" s="607"/>
      <c r="U313" s="607"/>
    </row>
    <row r="314" spans="6:21" ht="12.75">
      <c r="F314" s="507"/>
      <c r="G314" s="507"/>
      <c r="H314" s="507"/>
      <c r="I314" s="507"/>
      <c r="J314" s="507"/>
      <c r="K314" s="507"/>
      <c r="L314" s="507"/>
      <c r="M314" s="511"/>
      <c r="N314" s="507"/>
      <c r="O314" s="607"/>
      <c r="P314" s="607"/>
      <c r="Q314" s="607"/>
      <c r="R314" s="607"/>
      <c r="S314" s="607"/>
      <c r="T314" s="607"/>
      <c r="U314" s="607"/>
    </row>
    <row r="315" spans="6:21" ht="12.75">
      <c r="F315" s="507"/>
      <c r="G315" s="507"/>
      <c r="H315" s="507"/>
      <c r="I315" s="507"/>
      <c r="J315" s="507"/>
      <c r="K315" s="507"/>
      <c r="L315" s="507"/>
      <c r="M315" s="511"/>
      <c r="N315" s="507"/>
      <c r="O315" s="607"/>
      <c r="P315" s="607"/>
      <c r="Q315" s="607"/>
      <c r="R315" s="607"/>
      <c r="S315" s="607"/>
      <c r="T315" s="607"/>
      <c r="U315" s="607"/>
    </row>
    <row r="316" spans="6:21" ht="12.75">
      <c r="F316" s="507"/>
      <c r="G316" s="507"/>
      <c r="H316" s="507"/>
      <c r="I316" s="507"/>
      <c r="J316" s="507"/>
      <c r="K316" s="507"/>
      <c r="L316" s="507"/>
      <c r="M316" s="511"/>
      <c r="N316" s="507"/>
      <c r="O316" s="607"/>
      <c r="P316" s="607"/>
      <c r="Q316" s="607"/>
      <c r="R316" s="607"/>
      <c r="S316" s="607"/>
      <c r="T316" s="607"/>
      <c r="U316" s="607"/>
    </row>
    <row r="317" spans="6:21" ht="12.75">
      <c r="F317" s="507"/>
      <c r="G317" s="507"/>
      <c r="H317" s="507"/>
      <c r="I317" s="507"/>
      <c r="J317" s="507"/>
      <c r="K317" s="507"/>
      <c r="L317" s="507"/>
      <c r="M317" s="511"/>
      <c r="N317" s="507"/>
      <c r="O317" s="607"/>
      <c r="P317" s="607"/>
      <c r="Q317" s="607"/>
      <c r="R317" s="607"/>
      <c r="S317" s="607"/>
      <c r="T317" s="607"/>
      <c r="U317" s="607"/>
    </row>
    <row r="318" spans="15:21" ht="12.75">
      <c r="O318" s="607"/>
      <c r="P318" s="607"/>
      <c r="Q318" s="607"/>
      <c r="R318" s="607"/>
      <c r="S318" s="607"/>
      <c r="T318" s="607"/>
      <c r="U318" s="607"/>
    </row>
    <row r="319" spans="15:21" ht="12.75">
      <c r="O319" s="607"/>
      <c r="P319" s="607"/>
      <c r="Q319" s="607"/>
      <c r="R319" s="607"/>
      <c r="S319" s="607"/>
      <c r="T319" s="607"/>
      <c r="U319" s="607"/>
    </row>
    <row r="320" spans="15:21" ht="12.75">
      <c r="O320" s="607"/>
      <c r="P320" s="607"/>
      <c r="Q320" s="607"/>
      <c r="R320" s="607"/>
      <c r="S320" s="607"/>
      <c r="T320" s="607"/>
      <c r="U320" s="607"/>
    </row>
    <row r="321" spans="15:21" ht="12.75">
      <c r="O321" s="607"/>
      <c r="P321" s="607"/>
      <c r="Q321" s="607"/>
      <c r="R321" s="607"/>
      <c r="S321" s="607"/>
      <c r="T321" s="607"/>
      <c r="U321" s="607"/>
    </row>
    <row r="322" spans="15:21" ht="12.75">
      <c r="O322" s="607"/>
      <c r="P322" s="607"/>
      <c r="Q322" s="607"/>
      <c r="R322" s="607"/>
      <c r="S322" s="607"/>
      <c r="T322" s="607"/>
      <c r="U322" s="607"/>
    </row>
    <row r="323" spans="15:21" ht="12.75">
      <c r="O323" s="607"/>
      <c r="P323" s="607"/>
      <c r="Q323" s="607"/>
      <c r="R323" s="607"/>
      <c r="S323" s="607"/>
      <c r="T323" s="607"/>
      <c r="U323" s="607"/>
    </row>
    <row r="324" spans="15:21" ht="12.75">
      <c r="O324" s="607"/>
      <c r="P324" s="607"/>
      <c r="Q324" s="607"/>
      <c r="R324" s="607"/>
      <c r="S324" s="607"/>
      <c r="T324" s="607"/>
      <c r="U324" s="607"/>
    </row>
    <row r="325" spans="15:21" ht="12.75">
      <c r="O325" s="607"/>
      <c r="P325" s="607"/>
      <c r="Q325" s="607"/>
      <c r="R325" s="607"/>
      <c r="S325" s="607"/>
      <c r="T325" s="607"/>
      <c r="U325" s="607"/>
    </row>
    <row r="326" spans="15:21" ht="12.75">
      <c r="O326" s="607"/>
      <c r="P326" s="607"/>
      <c r="Q326" s="607"/>
      <c r="R326" s="607"/>
      <c r="S326" s="607"/>
      <c r="T326" s="607"/>
      <c r="U326" s="607"/>
    </row>
    <row r="327" spans="15:21" ht="12.75">
      <c r="O327" s="607"/>
      <c r="P327" s="607"/>
      <c r="Q327" s="607"/>
      <c r="R327" s="607"/>
      <c r="S327" s="607"/>
      <c r="T327" s="607"/>
      <c r="U327" s="607"/>
    </row>
    <row r="328" spans="15:21" ht="12.75">
      <c r="O328" s="607"/>
      <c r="P328" s="607"/>
      <c r="Q328" s="607"/>
      <c r="R328" s="607"/>
      <c r="S328" s="607"/>
      <c r="T328" s="607"/>
      <c r="U328" s="607"/>
    </row>
    <row r="329" spans="15:21" ht="12.75">
      <c r="O329" s="607"/>
      <c r="P329" s="607"/>
      <c r="Q329" s="607"/>
      <c r="R329" s="607"/>
      <c r="S329" s="607"/>
      <c r="T329" s="607"/>
      <c r="U329" s="607"/>
    </row>
    <row r="330" spans="15:21" ht="12.75">
      <c r="O330" s="607"/>
      <c r="P330" s="607"/>
      <c r="Q330" s="607"/>
      <c r="R330" s="607"/>
      <c r="S330" s="607"/>
      <c r="T330" s="607"/>
      <c r="U330" s="607"/>
    </row>
    <row r="331" spans="15:21" ht="12.75">
      <c r="O331" s="607"/>
      <c r="P331" s="607"/>
      <c r="Q331" s="607"/>
      <c r="R331" s="607"/>
      <c r="S331" s="607"/>
      <c r="T331" s="607"/>
      <c r="U331" s="607"/>
    </row>
    <row r="332" spans="15:21" ht="12.75">
      <c r="O332" s="607"/>
      <c r="P332" s="607"/>
      <c r="Q332" s="607"/>
      <c r="R332" s="607"/>
      <c r="S332" s="607"/>
      <c r="T332" s="607"/>
      <c r="U332" s="607"/>
    </row>
    <row r="333" spans="15:21" ht="12.75">
      <c r="O333" s="607"/>
      <c r="P333" s="607"/>
      <c r="Q333" s="607"/>
      <c r="R333" s="607"/>
      <c r="S333" s="607"/>
      <c r="T333" s="607"/>
      <c r="U333" s="607"/>
    </row>
    <row r="334" spans="15:21" ht="12.75">
      <c r="O334" s="607"/>
      <c r="P334" s="607"/>
      <c r="Q334" s="607"/>
      <c r="R334" s="607"/>
      <c r="S334" s="607"/>
      <c r="T334" s="607"/>
      <c r="U334" s="607"/>
    </row>
    <row r="335" spans="15:21" ht="12.75">
      <c r="O335" s="607"/>
      <c r="P335" s="607"/>
      <c r="Q335" s="607"/>
      <c r="R335" s="607"/>
      <c r="S335" s="607"/>
      <c r="T335" s="607"/>
      <c r="U335" s="607"/>
    </row>
    <row r="336" spans="15:21" ht="12.75">
      <c r="O336" s="607"/>
      <c r="P336" s="607"/>
      <c r="Q336" s="607"/>
      <c r="R336" s="607"/>
      <c r="S336" s="607"/>
      <c r="T336" s="607"/>
      <c r="U336" s="607"/>
    </row>
    <row r="337" spans="15:21" ht="12.75">
      <c r="O337" s="607"/>
      <c r="P337" s="607"/>
      <c r="Q337" s="607"/>
      <c r="R337" s="607"/>
      <c r="S337" s="607"/>
      <c r="T337" s="607"/>
      <c r="U337" s="607"/>
    </row>
    <row r="338" spans="15:21" ht="12.75">
      <c r="O338" s="607"/>
      <c r="P338" s="607"/>
      <c r="Q338" s="607"/>
      <c r="R338" s="607"/>
      <c r="S338" s="607"/>
      <c r="T338" s="607"/>
      <c r="U338" s="607"/>
    </row>
    <row r="339" spans="15:21" ht="12.75">
      <c r="O339" s="607"/>
      <c r="P339" s="607"/>
      <c r="Q339" s="607"/>
      <c r="R339" s="607"/>
      <c r="S339" s="607"/>
      <c r="T339" s="607"/>
      <c r="U339" s="607"/>
    </row>
    <row r="340" spans="15:21" ht="12.75">
      <c r="O340" s="607"/>
      <c r="P340" s="607"/>
      <c r="Q340" s="607"/>
      <c r="R340" s="607"/>
      <c r="S340" s="607"/>
      <c r="T340" s="607"/>
      <c r="U340" s="607"/>
    </row>
    <row r="341" spans="15:21" ht="12.75">
      <c r="O341" s="607"/>
      <c r="P341" s="607"/>
      <c r="Q341" s="607"/>
      <c r="R341" s="607"/>
      <c r="S341" s="607"/>
      <c r="T341" s="607"/>
      <c r="U341" s="607"/>
    </row>
    <row r="342" spans="15:21" ht="12.75">
      <c r="O342" s="607"/>
      <c r="P342" s="607"/>
      <c r="Q342" s="607"/>
      <c r="R342" s="607"/>
      <c r="S342" s="607"/>
      <c r="T342" s="607"/>
      <c r="U342" s="607"/>
    </row>
    <row r="343" spans="15:21" ht="12.75">
      <c r="O343" s="607"/>
      <c r="P343" s="607"/>
      <c r="Q343" s="607"/>
      <c r="R343" s="607"/>
      <c r="S343" s="607"/>
      <c r="T343" s="607"/>
      <c r="U343" s="607"/>
    </row>
    <row r="344" spans="15:21" ht="12.75">
      <c r="O344" s="607"/>
      <c r="P344" s="607"/>
      <c r="Q344" s="607"/>
      <c r="R344" s="607"/>
      <c r="S344" s="607"/>
      <c r="T344" s="607"/>
      <c r="U344" s="607"/>
    </row>
    <row r="345" spans="15:21" ht="12.75">
      <c r="O345" s="607"/>
      <c r="P345" s="607"/>
      <c r="Q345" s="607"/>
      <c r="R345" s="607"/>
      <c r="S345" s="607"/>
      <c r="T345" s="607"/>
      <c r="U345" s="607"/>
    </row>
    <row r="346" spans="15:21" ht="12.75">
      <c r="O346" s="607"/>
      <c r="P346" s="607"/>
      <c r="Q346" s="607"/>
      <c r="R346" s="607"/>
      <c r="S346" s="607"/>
      <c r="T346" s="607"/>
      <c r="U346" s="607"/>
    </row>
    <row r="347" spans="15:21" ht="12.75">
      <c r="O347" s="607"/>
      <c r="P347" s="607"/>
      <c r="Q347" s="607"/>
      <c r="R347" s="607"/>
      <c r="S347" s="607"/>
      <c r="T347" s="607"/>
      <c r="U347" s="607"/>
    </row>
    <row r="348" spans="15:21" ht="12.75">
      <c r="O348" s="607"/>
      <c r="P348" s="607"/>
      <c r="Q348" s="607"/>
      <c r="R348" s="607"/>
      <c r="S348" s="607"/>
      <c r="T348" s="607"/>
      <c r="U348" s="607"/>
    </row>
    <row r="349" spans="15:21" ht="12.75">
      <c r="O349" s="607"/>
      <c r="P349" s="607"/>
      <c r="Q349" s="607"/>
      <c r="R349" s="607"/>
      <c r="S349" s="607"/>
      <c r="T349" s="607"/>
      <c r="U349" s="607"/>
    </row>
    <row r="350" spans="15:21" ht="12.75">
      <c r="O350" s="607"/>
      <c r="P350" s="607"/>
      <c r="Q350" s="607"/>
      <c r="R350" s="607"/>
      <c r="S350" s="607"/>
      <c r="T350" s="607"/>
      <c r="U350" s="607"/>
    </row>
    <row r="351" spans="15:21" ht="12.75">
      <c r="O351" s="607"/>
      <c r="P351" s="607"/>
      <c r="Q351" s="607"/>
      <c r="R351" s="607"/>
      <c r="S351" s="607"/>
      <c r="T351" s="607"/>
      <c r="U351" s="607"/>
    </row>
    <row r="352" spans="15:21" ht="12.75">
      <c r="O352" s="607"/>
      <c r="P352" s="607"/>
      <c r="Q352" s="607"/>
      <c r="R352" s="607"/>
      <c r="S352" s="607"/>
      <c r="T352" s="607"/>
      <c r="U352" s="607"/>
    </row>
    <row r="353" spans="15:21" ht="12.75">
      <c r="O353" s="607"/>
      <c r="P353" s="607"/>
      <c r="Q353" s="607"/>
      <c r="R353" s="607"/>
      <c r="S353" s="607"/>
      <c r="T353" s="607"/>
      <c r="U353" s="607"/>
    </row>
    <row r="354" spans="15:21" ht="12.75">
      <c r="O354" s="607"/>
      <c r="P354" s="607"/>
      <c r="Q354" s="607"/>
      <c r="R354" s="607"/>
      <c r="S354" s="607"/>
      <c r="T354" s="607"/>
      <c r="U354" s="607"/>
    </row>
    <row r="355" spans="15:21" ht="12.75">
      <c r="O355" s="607"/>
      <c r="P355" s="607"/>
      <c r="Q355" s="607"/>
      <c r="R355" s="607"/>
      <c r="S355" s="607"/>
      <c r="T355" s="607"/>
      <c r="U355" s="607"/>
    </row>
    <row r="356" spans="15:21" ht="12.75">
      <c r="O356" s="607"/>
      <c r="P356" s="607"/>
      <c r="Q356" s="607"/>
      <c r="R356" s="607"/>
      <c r="S356" s="607"/>
      <c r="T356" s="607"/>
      <c r="U356" s="607"/>
    </row>
    <row r="357" spans="15:21" ht="12.75">
      <c r="O357" s="607"/>
      <c r="P357" s="607"/>
      <c r="Q357" s="607"/>
      <c r="R357" s="607"/>
      <c r="S357" s="607"/>
      <c r="T357" s="607"/>
      <c r="U357" s="607"/>
    </row>
    <row r="358" spans="15:21" ht="12.75">
      <c r="O358" s="607"/>
      <c r="P358" s="607"/>
      <c r="Q358" s="607"/>
      <c r="R358" s="607"/>
      <c r="S358" s="607"/>
      <c r="T358" s="607"/>
      <c r="U358" s="607"/>
    </row>
    <row r="359" spans="15:21" ht="12.75">
      <c r="O359" s="607"/>
      <c r="P359" s="607"/>
      <c r="Q359" s="607"/>
      <c r="R359" s="607"/>
      <c r="S359" s="607"/>
      <c r="T359" s="607"/>
      <c r="U359" s="607"/>
    </row>
    <row r="360" spans="15:21" ht="12.75">
      <c r="O360" s="607"/>
      <c r="P360" s="607"/>
      <c r="Q360" s="607"/>
      <c r="R360" s="607"/>
      <c r="S360" s="607"/>
      <c r="T360" s="607"/>
      <c r="U360" s="607"/>
    </row>
    <row r="361" spans="15:21" ht="12.75">
      <c r="O361" s="607"/>
      <c r="P361" s="607"/>
      <c r="Q361" s="607"/>
      <c r="R361" s="607"/>
      <c r="S361" s="607"/>
      <c r="T361" s="607"/>
      <c r="U361" s="607"/>
    </row>
    <row r="362" spans="15:21" ht="12.75">
      <c r="O362" s="607"/>
      <c r="P362" s="607"/>
      <c r="Q362" s="607"/>
      <c r="R362" s="607"/>
      <c r="S362" s="607"/>
      <c r="T362" s="607"/>
      <c r="U362" s="607"/>
    </row>
    <row r="363" spans="15:21" ht="12.75">
      <c r="O363" s="607"/>
      <c r="P363" s="607"/>
      <c r="Q363" s="607"/>
      <c r="R363" s="607"/>
      <c r="S363" s="607"/>
      <c r="T363" s="607"/>
      <c r="U363" s="607"/>
    </row>
    <row r="364" spans="15:21" ht="12.75">
      <c r="O364" s="607"/>
      <c r="P364" s="607"/>
      <c r="Q364" s="607"/>
      <c r="R364" s="607"/>
      <c r="S364" s="607"/>
      <c r="T364" s="607"/>
      <c r="U364" s="607"/>
    </row>
    <row r="365" spans="15:21" ht="12.75">
      <c r="O365" s="607"/>
      <c r="P365" s="607"/>
      <c r="Q365" s="607"/>
      <c r="R365" s="607"/>
      <c r="S365" s="607"/>
      <c r="T365" s="607"/>
      <c r="U365" s="607"/>
    </row>
    <row r="366" spans="15:21" ht="12.75">
      <c r="O366" s="607"/>
      <c r="P366" s="607"/>
      <c r="Q366" s="607"/>
      <c r="R366" s="607"/>
      <c r="S366" s="607"/>
      <c r="T366" s="607"/>
      <c r="U366" s="607"/>
    </row>
    <row r="367" spans="15:21" ht="12.75">
      <c r="O367" s="607"/>
      <c r="P367" s="607"/>
      <c r="Q367" s="607"/>
      <c r="R367" s="607"/>
      <c r="S367" s="607"/>
      <c r="T367" s="607"/>
      <c r="U367" s="607"/>
    </row>
    <row r="368" spans="15:21" ht="12.75">
      <c r="O368" s="607"/>
      <c r="P368" s="607"/>
      <c r="Q368" s="607"/>
      <c r="R368" s="607"/>
      <c r="S368" s="607"/>
      <c r="T368" s="607"/>
      <c r="U368" s="607"/>
    </row>
    <row r="369" spans="15:21" ht="12.75">
      <c r="O369" s="607"/>
      <c r="P369" s="607"/>
      <c r="Q369" s="607"/>
      <c r="R369" s="607"/>
      <c r="S369" s="607"/>
      <c r="T369" s="607"/>
      <c r="U369" s="607"/>
    </row>
    <row r="370" spans="15:21" ht="12.75">
      <c r="O370" s="607"/>
      <c r="P370" s="607"/>
      <c r="Q370" s="607"/>
      <c r="R370" s="607"/>
      <c r="S370" s="607"/>
      <c r="T370" s="607"/>
      <c r="U370" s="607"/>
    </row>
    <row r="371" spans="15:21" ht="12.75">
      <c r="O371" s="607"/>
      <c r="P371" s="607"/>
      <c r="Q371" s="607"/>
      <c r="R371" s="607"/>
      <c r="S371" s="607"/>
      <c r="T371" s="607"/>
      <c r="U371" s="607"/>
    </row>
    <row r="372" spans="15:21" ht="12.75">
      <c r="O372" s="607"/>
      <c r="P372" s="607"/>
      <c r="Q372" s="607"/>
      <c r="R372" s="607"/>
      <c r="S372" s="607"/>
      <c r="T372" s="607"/>
      <c r="U372" s="607"/>
    </row>
    <row r="373" spans="15:21" ht="12.75">
      <c r="O373" s="607"/>
      <c r="P373" s="607"/>
      <c r="Q373" s="607"/>
      <c r="R373" s="607"/>
      <c r="S373" s="607"/>
      <c r="T373" s="607"/>
      <c r="U373" s="607"/>
    </row>
    <row r="374" spans="15:21" ht="12.75">
      <c r="O374" s="607"/>
      <c r="P374" s="607"/>
      <c r="Q374" s="607"/>
      <c r="R374" s="607"/>
      <c r="S374" s="607"/>
      <c r="T374" s="607"/>
      <c r="U374" s="607"/>
    </row>
    <row r="375" spans="15:21" ht="12.75">
      <c r="O375" s="607"/>
      <c r="P375" s="607"/>
      <c r="Q375" s="607"/>
      <c r="R375" s="607"/>
      <c r="S375" s="607"/>
      <c r="T375" s="607"/>
      <c r="U375" s="607"/>
    </row>
    <row r="376" spans="15:21" ht="12.75">
      <c r="O376" s="607"/>
      <c r="P376" s="607"/>
      <c r="Q376" s="607"/>
      <c r="R376" s="607"/>
      <c r="S376" s="607"/>
      <c r="T376" s="607"/>
      <c r="U376" s="607"/>
    </row>
    <row r="377" spans="15:21" ht="12.75">
      <c r="O377" s="607"/>
      <c r="P377" s="607"/>
      <c r="Q377" s="607"/>
      <c r="R377" s="607"/>
      <c r="S377" s="607"/>
      <c r="T377" s="607"/>
      <c r="U377" s="607"/>
    </row>
    <row r="378" spans="15:21" ht="12.75">
      <c r="O378" s="607"/>
      <c r="P378" s="607"/>
      <c r="Q378" s="607"/>
      <c r="R378" s="607"/>
      <c r="S378" s="607"/>
      <c r="T378" s="607"/>
      <c r="U378" s="607"/>
    </row>
    <row r="379" spans="15:21" ht="12.75">
      <c r="O379" s="607"/>
      <c r="P379" s="607"/>
      <c r="Q379" s="607"/>
      <c r="R379" s="607"/>
      <c r="S379" s="607"/>
      <c r="T379" s="607"/>
      <c r="U379" s="607"/>
    </row>
    <row r="380" spans="15:21" ht="12.75">
      <c r="O380" s="607"/>
      <c r="P380" s="607"/>
      <c r="Q380" s="607"/>
      <c r="R380" s="607"/>
      <c r="S380" s="607"/>
      <c r="T380" s="607"/>
      <c r="U380" s="607"/>
    </row>
    <row r="381" spans="15:21" ht="12.75">
      <c r="O381" s="607"/>
      <c r="P381" s="607"/>
      <c r="Q381" s="607"/>
      <c r="R381" s="607"/>
      <c r="S381" s="607"/>
      <c r="T381" s="607"/>
      <c r="U381" s="607"/>
    </row>
    <row r="382" spans="15:21" ht="12.75">
      <c r="O382" s="607"/>
      <c r="P382" s="607"/>
      <c r="Q382" s="607"/>
      <c r="R382" s="607"/>
      <c r="S382" s="607"/>
      <c r="T382" s="607"/>
      <c r="U382" s="607"/>
    </row>
    <row r="383" spans="15:21" ht="12.75">
      <c r="O383" s="607"/>
      <c r="P383" s="607"/>
      <c r="Q383" s="607"/>
      <c r="R383" s="607"/>
      <c r="S383" s="607"/>
      <c r="T383" s="607"/>
      <c r="U383" s="607"/>
    </row>
    <row r="384" spans="15:21" ht="12.75">
      <c r="O384" s="607"/>
      <c r="P384" s="607"/>
      <c r="Q384" s="607"/>
      <c r="R384" s="607"/>
      <c r="S384" s="607"/>
      <c r="T384" s="607"/>
      <c r="U384" s="607"/>
    </row>
    <row r="385" spans="15:21" ht="12.75">
      <c r="O385" s="607"/>
      <c r="P385" s="607"/>
      <c r="Q385" s="607"/>
      <c r="R385" s="607"/>
      <c r="S385" s="607"/>
      <c r="T385" s="607"/>
      <c r="U385" s="607"/>
    </row>
    <row r="386" spans="15:21" ht="12.75">
      <c r="O386" s="607"/>
      <c r="P386" s="607"/>
      <c r="Q386" s="607"/>
      <c r="R386" s="607"/>
      <c r="S386" s="607"/>
      <c r="T386" s="607"/>
      <c r="U386" s="607"/>
    </row>
    <row r="387" spans="15:21" ht="12.75">
      <c r="O387" s="607"/>
      <c r="P387" s="607"/>
      <c r="Q387" s="607"/>
      <c r="R387" s="607"/>
      <c r="S387" s="607"/>
      <c r="T387" s="607"/>
      <c r="U387" s="607"/>
    </row>
    <row r="388" spans="15:21" ht="12.75">
      <c r="O388" s="607"/>
      <c r="P388" s="607"/>
      <c r="Q388" s="607"/>
      <c r="R388" s="607"/>
      <c r="S388" s="607"/>
      <c r="T388" s="607"/>
      <c r="U388" s="607"/>
    </row>
    <row r="389" spans="15:21" ht="12.75">
      <c r="O389" s="607"/>
      <c r="P389" s="607"/>
      <c r="Q389" s="607"/>
      <c r="R389" s="607"/>
      <c r="S389" s="607"/>
      <c r="T389" s="607"/>
      <c r="U389" s="607"/>
    </row>
    <row r="390" spans="15:21" ht="12.75">
      <c r="O390" s="607"/>
      <c r="P390" s="607"/>
      <c r="Q390" s="607"/>
      <c r="R390" s="607"/>
      <c r="S390" s="607"/>
      <c r="T390" s="607"/>
      <c r="U390" s="607"/>
    </row>
    <row r="391" spans="15:21" ht="12.75">
      <c r="O391" s="607"/>
      <c r="P391" s="607"/>
      <c r="Q391" s="607"/>
      <c r="R391" s="607"/>
      <c r="S391" s="607"/>
      <c r="T391" s="607"/>
      <c r="U391" s="607"/>
    </row>
    <row r="392" spans="15:21" ht="12.75">
      <c r="O392" s="607"/>
      <c r="P392" s="607"/>
      <c r="Q392" s="607"/>
      <c r="R392" s="607"/>
      <c r="S392" s="607"/>
      <c r="T392" s="607"/>
      <c r="U392" s="607"/>
    </row>
    <row r="393" spans="15:21" ht="12.75">
      <c r="O393" s="607"/>
      <c r="P393" s="607"/>
      <c r="Q393" s="607"/>
      <c r="R393" s="607"/>
      <c r="S393" s="607"/>
      <c r="T393" s="607"/>
      <c r="U393" s="607"/>
    </row>
    <row r="394" spans="15:21" ht="12.75">
      <c r="O394" s="607"/>
      <c r="P394" s="607"/>
      <c r="Q394" s="607"/>
      <c r="R394" s="607"/>
      <c r="S394" s="607"/>
      <c r="T394" s="607"/>
      <c r="U394" s="607"/>
    </row>
    <row r="395" spans="15:21" ht="12.75">
      <c r="O395" s="607"/>
      <c r="P395" s="607"/>
      <c r="Q395" s="607"/>
      <c r="R395" s="607"/>
      <c r="S395" s="607"/>
      <c r="T395" s="607"/>
      <c r="U395" s="607"/>
    </row>
    <row r="396" spans="15:21" ht="12.75">
      <c r="O396" s="607"/>
      <c r="P396" s="607"/>
      <c r="Q396" s="607"/>
      <c r="R396" s="607"/>
      <c r="S396" s="607"/>
      <c r="T396" s="607"/>
      <c r="U396" s="607"/>
    </row>
    <row r="397" spans="15:21" ht="12.75">
      <c r="O397" s="607"/>
      <c r="P397" s="607"/>
      <c r="Q397" s="607"/>
      <c r="R397" s="607"/>
      <c r="S397" s="607"/>
      <c r="T397" s="607"/>
      <c r="U397" s="607"/>
    </row>
    <row r="398" spans="15:21" ht="12.75">
      <c r="O398" s="607"/>
      <c r="P398" s="607"/>
      <c r="Q398" s="607"/>
      <c r="R398" s="607"/>
      <c r="S398" s="607"/>
      <c r="T398" s="607"/>
      <c r="U398" s="607"/>
    </row>
    <row r="399" spans="15:21" ht="12.75">
      <c r="O399" s="607"/>
      <c r="P399" s="607"/>
      <c r="Q399" s="607"/>
      <c r="R399" s="607"/>
      <c r="S399" s="607"/>
      <c r="T399" s="607"/>
      <c r="U399" s="607"/>
    </row>
    <row r="400" spans="15:21" ht="12.75">
      <c r="O400" s="607"/>
      <c r="P400" s="607"/>
      <c r="Q400" s="607"/>
      <c r="R400" s="607"/>
      <c r="S400" s="607"/>
      <c r="T400" s="607"/>
      <c r="U400" s="607"/>
    </row>
    <row r="401" spans="15:21" ht="12.75">
      <c r="O401" s="607"/>
      <c r="P401" s="607"/>
      <c r="Q401" s="607"/>
      <c r="R401" s="607"/>
      <c r="S401" s="607"/>
      <c r="T401" s="607"/>
      <c r="U401" s="607"/>
    </row>
    <row r="402" spans="15:21" ht="12.75">
      <c r="O402" s="607"/>
      <c r="P402" s="607"/>
      <c r="Q402" s="607"/>
      <c r="R402" s="607"/>
      <c r="S402" s="607"/>
      <c r="T402" s="607"/>
      <c r="U402" s="607"/>
    </row>
    <row r="403" spans="15:21" ht="12.75">
      <c r="O403" s="607"/>
      <c r="P403" s="607"/>
      <c r="Q403" s="607"/>
      <c r="R403" s="607"/>
      <c r="S403" s="607"/>
      <c r="T403" s="607"/>
      <c r="U403" s="607"/>
    </row>
    <row r="404" spans="15:21" ht="12.75">
      <c r="O404" s="607"/>
      <c r="P404" s="607"/>
      <c r="Q404" s="607"/>
      <c r="R404" s="607"/>
      <c r="S404" s="607"/>
      <c r="T404" s="607"/>
      <c r="U404" s="607"/>
    </row>
    <row r="405" spans="15:21" ht="12.75">
      <c r="O405" s="607"/>
      <c r="P405" s="607"/>
      <c r="Q405" s="607"/>
      <c r="R405" s="607"/>
      <c r="S405" s="607"/>
      <c r="T405" s="607"/>
      <c r="U405" s="607"/>
    </row>
    <row r="406" spans="15:21" ht="12.75">
      <c r="O406" s="607"/>
      <c r="P406" s="607"/>
      <c r="Q406" s="607"/>
      <c r="R406" s="607"/>
      <c r="S406" s="607"/>
      <c r="T406" s="607"/>
      <c r="U406" s="607"/>
    </row>
    <row r="407" spans="15:21" ht="12.75">
      <c r="O407" s="607"/>
      <c r="P407" s="607"/>
      <c r="Q407" s="607"/>
      <c r="R407" s="607"/>
      <c r="S407" s="607"/>
      <c r="T407" s="607"/>
      <c r="U407" s="607"/>
    </row>
    <row r="408" spans="15:21" ht="12.75">
      <c r="O408" s="607"/>
      <c r="P408" s="607"/>
      <c r="Q408" s="607"/>
      <c r="R408" s="607"/>
      <c r="S408" s="607"/>
      <c r="T408" s="607"/>
      <c r="U408" s="607"/>
    </row>
    <row r="409" spans="15:21" ht="12.75">
      <c r="O409" s="607"/>
      <c r="P409" s="607"/>
      <c r="Q409" s="607"/>
      <c r="R409" s="607"/>
      <c r="S409" s="607"/>
      <c r="T409" s="607"/>
      <c r="U409" s="607"/>
    </row>
    <row r="410" spans="15:21" ht="12.75">
      <c r="O410" s="607"/>
      <c r="P410" s="607"/>
      <c r="Q410" s="607"/>
      <c r="R410" s="607"/>
      <c r="S410" s="607"/>
      <c r="T410" s="607"/>
      <c r="U410" s="607"/>
    </row>
    <row r="411" spans="15:21" ht="12.75">
      <c r="O411" s="607"/>
      <c r="P411" s="607"/>
      <c r="Q411" s="607"/>
      <c r="R411" s="607"/>
      <c r="S411" s="607"/>
      <c r="T411" s="607"/>
      <c r="U411" s="607"/>
    </row>
    <row r="412" spans="15:21" ht="12.75">
      <c r="O412" s="607"/>
      <c r="P412" s="607"/>
      <c r="Q412" s="607"/>
      <c r="R412" s="607"/>
      <c r="S412" s="607"/>
      <c r="T412" s="607"/>
      <c r="U412" s="607"/>
    </row>
    <row r="413" spans="15:21" ht="12.75">
      <c r="O413" s="607"/>
      <c r="P413" s="607"/>
      <c r="Q413" s="607"/>
      <c r="R413" s="607"/>
      <c r="S413" s="607"/>
      <c r="T413" s="607"/>
      <c r="U413" s="607"/>
    </row>
    <row r="414" spans="15:21" ht="12.75">
      <c r="O414" s="607"/>
      <c r="P414" s="607"/>
      <c r="Q414" s="607"/>
      <c r="R414" s="607"/>
      <c r="S414" s="607"/>
      <c r="T414" s="607"/>
      <c r="U414" s="607"/>
    </row>
    <row r="415" spans="15:21" ht="12.75">
      <c r="O415" s="607"/>
      <c r="P415" s="607"/>
      <c r="Q415" s="607"/>
      <c r="R415" s="607"/>
      <c r="S415" s="607"/>
      <c r="T415" s="607"/>
      <c r="U415" s="607"/>
    </row>
    <row r="416" spans="15:21" ht="12.75">
      <c r="O416" s="607"/>
      <c r="P416" s="607"/>
      <c r="Q416" s="607"/>
      <c r="R416" s="607"/>
      <c r="S416" s="607"/>
      <c r="T416" s="607"/>
      <c r="U416" s="607"/>
    </row>
    <row r="417" spans="15:21" ht="12.75">
      <c r="O417" s="607"/>
      <c r="P417" s="607"/>
      <c r="Q417" s="607"/>
      <c r="R417" s="607"/>
      <c r="S417" s="607"/>
      <c r="T417" s="607"/>
      <c r="U417" s="607"/>
    </row>
    <row r="418" spans="15:21" ht="12.75">
      <c r="O418" s="607"/>
      <c r="P418" s="607"/>
      <c r="Q418" s="607"/>
      <c r="R418" s="607"/>
      <c r="S418" s="607"/>
      <c r="T418" s="607"/>
      <c r="U418" s="607"/>
    </row>
    <row r="419" spans="15:21" ht="12.75">
      <c r="O419" s="607"/>
      <c r="P419" s="607"/>
      <c r="Q419" s="607"/>
      <c r="R419" s="607"/>
      <c r="S419" s="607"/>
      <c r="T419" s="607"/>
      <c r="U419" s="607"/>
    </row>
    <row r="420" spans="15:21" ht="12.75">
      <c r="O420" s="607"/>
      <c r="P420" s="607"/>
      <c r="Q420" s="607"/>
      <c r="R420" s="607"/>
      <c r="S420" s="607"/>
      <c r="T420" s="607"/>
      <c r="U420" s="607"/>
    </row>
    <row r="421" spans="15:21" ht="12.75">
      <c r="O421" s="607"/>
      <c r="P421" s="607"/>
      <c r="Q421" s="607"/>
      <c r="R421" s="607"/>
      <c r="S421" s="607"/>
      <c r="T421" s="607"/>
      <c r="U421" s="607"/>
    </row>
    <row r="422" spans="15:21" ht="12.75">
      <c r="O422" s="607"/>
      <c r="P422" s="607"/>
      <c r="Q422" s="607"/>
      <c r="R422" s="607"/>
      <c r="S422" s="607"/>
      <c r="T422" s="607"/>
      <c r="U422" s="607"/>
    </row>
    <row r="423" spans="15:21" ht="12.75">
      <c r="O423" s="607"/>
      <c r="P423" s="607"/>
      <c r="Q423" s="607"/>
      <c r="R423" s="607"/>
      <c r="S423" s="607"/>
      <c r="T423" s="607"/>
      <c r="U423" s="607"/>
    </row>
    <row r="424" spans="15:21" ht="12.75">
      <c r="O424" s="607"/>
      <c r="P424" s="607"/>
      <c r="Q424" s="607"/>
      <c r="R424" s="607"/>
      <c r="S424" s="607"/>
      <c r="T424" s="607"/>
      <c r="U424" s="607"/>
    </row>
    <row r="425" spans="15:21" ht="12.75">
      <c r="O425" s="607"/>
      <c r="P425" s="607"/>
      <c r="Q425" s="607"/>
      <c r="R425" s="607"/>
      <c r="S425" s="607"/>
      <c r="T425" s="607"/>
      <c r="U425" s="607"/>
    </row>
    <row r="426" spans="15:21" ht="12.75">
      <c r="O426" s="607"/>
      <c r="P426" s="607"/>
      <c r="Q426" s="607"/>
      <c r="R426" s="607"/>
      <c r="S426" s="607"/>
      <c r="T426" s="607"/>
      <c r="U426" s="607"/>
    </row>
    <row r="427" spans="15:21" ht="12.75">
      <c r="O427" s="607"/>
      <c r="P427" s="607"/>
      <c r="Q427" s="607"/>
      <c r="R427" s="607"/>
      <c r="S427" s="607"/>
      <c r="T427" s="607"/>
      <c r="U427" s="607"/>
    </row>
    <row r="428" spans="15:21" ht="12.75">
      <c r="O428" s="607"/>
      <c r="P428" s="607"/>
      <c r="Q428" s="607"/>
      <c r="R428" s="607"/>
      <c r="S428" s="607"/>
      <c r="T428" s="607"/>
      <c r="U428" s="607"/>
    </row>
    <row r="429" spans="15:21" ht="12.75">
      <c r="O429" s="607"/>
      <c r="P429" s="607"/>
      <c r="Q429" s="607"/>
      <c r="R429" s="607"/>
      <c r="S429" s="607"/>
      <c r="T429" s="607"/>
      <c r="U429" s="607"/>
    </row>
    <row r="430" spans="15:21" ht="12.75">
      <c r="O430" s="607"/>
      <c r="P430" s="607"/>
      <c r="Q430" s="607"/>
      <c r="R430" s="607"/>
      <c r="S430" s="607"/>
      <c r="T430" s="607"/>
      <c r="U430" s="607"/>
    </row>
    <row r="431" spans="15:21" ht="12.75">
      <c r="O431" s="607"/>
      <c r="P431" s="607"/>
      <c r="Q431" s="607"/>
      <c r="R431" s="607"/>
      <c r="S431" s="607"/>
      <c r="T431" s="607"/>
      <c r="U431" s="607"/>
    </row>
    <row r="432" spans="15:21" ht="12.75">
      <c r="O432" s="607"/>
      <c r="P432" s="607"/>
      <c r="Q432" s="607"/>
      <c r="R432" s="607"/>
      <c r="S432" s="607"/>
      <c r="T432" s="607"/>
      <c r="U432" s="607"/>
    </row>
    <row r="433" spans="15:21" ht="12.75">
      <c r="O433" s="607"/>
      <c r="P433" s="607"/>
      <c r="Q433" s="607"/>
      <c r="R433" s="607"/>
      <c r="S433" s="607"/>
      <c r="T433" s="607"/>
      <c r="U433" s="607"/>
    </row>
    <row r="434" spans="15:21" ht="12.75">
      <c r="O434" s="607"/>
      <c r="P434" s="607"/>
      <c r="Q434" s="607"/>
      <c r="R434" s="607"/>
      <c r="S434" s="607"/>
      <c r="T434" s="607"/>
      <c r="U434" s="607"/>
    </row>
    <row r="435" spans="15:21" ht="12.75">
      <c r="O435" s="607"/>
      <c r="P435" s="607"/>
      <c r="Q435" s="607"/>
      <c r="R435" s="607"/>
      <c r="S435" s="607"/>
      <c r="T435" s="607"/>
      <c r="U435" s="607"/>
    </row>
    <row r="436" spans="15:21" ht="12.75">
      <c r="O436" s="607"/>
      <c r="P436" s="607"/>
      <c r="Q436" s="607"/>
      <c r="R436" s="607"/>
      <c r="S436" s="607"/>
      <c r="T436" s="607"/>
      <c r="U436" s="607"/>
    </row>
    <row r="437" spans="15:21" ht="12.75">
      <c r="O437" s="607"/>
      <c r="P437" s="607"/>
      <c r="Q437" s="607"/>
      <c r="R437" s="607"/>
      <c r="S437" s="607"/>
      <c r="T437" s="607"/>
      <c r="U437" s="607"/>
    </row>
    <row r="438" spans="15:21" ht="12.75">
      <c r="O438" s="607"/>
      <c r="P438" s="607"/>
      <c r="Q438" s="607"/>
      <c r="R438" s="607"/>
      <c r="S438" s="607"/>
      <c r="T438" s="607"/>
      <c r="U438" s="607"/>
    </row>
    <row r="439" spans="15:21" ht="12.75">
      <c r="O439" s="607"/>
      <c r="P439" s="607"/>
      <c r="Q439" s="607"/>
      <c r="R439" s="607"/>
      <c r="S439" s="607"/>
      <c r="T439" s="607"/>
      <c r="U439" s="607"/>
    </row>
    <row r="440" spans="15:21" ht="12.75">
      <c r="O440" s="607"/>
      <c r="P440" s="607"/>
      <c r="Q440" s="607"/>
      <c r="R440" s="607"/>
      <c r="S440" s="607"/>
      <c r="T440" s="607"/>
      <c r="U440" s="607"/>
    </row>
    <row r="441" spans="15:21" ht="12.75">
      <c r="O441" s="607"/>
      <c r="P441" s="607"/>
      <c r="Q441" s="607"/>
      <c r="R441" s="607"/>
      <c r="S441" s="607"/>
      <c r="T441" s="607"/>
      <c r="U441" s="607"/>
    </row>
    <row r="442" spans="15:21" ht="12.75">
      <c r="O442" s="607"/>
      <c r="P442" s="607"/>
      <c r="Q442" s="607"/>
      <c r="R442" s="607"/>
      <c r="S442" s="607"/>
      <c r="T442" s="607"/>
      <c r="U442" s="607"/>
    </row>
    <row r="443" spans="15:21" ht="12.75">
      <c r="O443" s="607"/>
      <c r="P443" s="607"/>
      <c r="Q443" s="607"/>
      <c r="R443" s="607"/>
      <c r="S443" s="607"/>
      <c r="T443" s="607"/>
      <c r="U443" s="607"/>
    </row>
    <row r="444" spans="15:21" ht="12.75">
      <c r="O444" s="607"/>
      <c r="P444" s="607"/>
      <c r="Q444" s="607"/>
      <c r="R444" s="607"/>
      <c r="S444" s="607"/>
      <c r="T444" s="607"/>
      <c r="U444" s="607"/>
    </row>
    <row r="445" spans="15:21" ht="12.75">
      <c r="O445" s="607"/>
      <c r="P445" s="607"/>
      <c r="Q445" s="607"/>
      <c r="R445" s="607"/>
      <c r="S445" s="607"/>
      <c r="T445" s="607"/>
      <c r="U445" s="607"/>
    </row>
    <row r="446" spans="15:21" ht="12.75">
      <c r="O446" s="607"/>
      <c r="P446" s="607"/>
      <c r="Q446" s="607"/>
      <c r="R446" s="607"/>
      <c r="S446" s="607"/>
      <c r="T446" s="607"/>
      <c r="U446" s="607"/>
    </row>
    <row r="447" spans="15:21" ht="12.75">
      <c r="O447" s="607"/>
      <c r="P447" s="607"/>
      <c r="Q447" s="607"/>
      <c r="R447" s="607"/>
      <c r="S447" s="607"/>
      <c r="T447" s="607"/>
      <c r="U447" s="607"/>
    </row>
    <row r="448" spans="15:21" ht="12.75">
      <c r="O448" s="607"/>
      <c r="P448" s="607"/>
      <c r="Q448" s="607"/>
      <c r="R448" s="607"/>
      <c r="S448" s="607"/>
      <c r="T448" s="607"/>
      <c r="U448" s="607"/>
    </row>
    <row r="449" spans="15:21" ht="12.75">
      <c r="O449" s="607"/>
      <c r="P449" s="607"/>
      <c r="Q449" s="607"/>
      <c r="R449" s="607"/>
      <c r="S449" s="607"/>
      <c r="T449" s="607"/>
      <c r="U449" s="607"/>
    </row>
    <row r="450" spans="15:21" ht="12.75">
      <c r="O450" s="607"/>
      <c r="P450" s="607"/>
      <c r="Q450" s="607"/>
      <c r="R450" s="607"/>
      <c r="S450" s="607"/>
      <c r="T450" s="607"/>
      <c r="U450" s="607"/>
    </row>
    <row r="451" spans="15:21" ht="12.75">
      <c r="O451" s="607"/>
      <c r="P451" s="607"/>
      <c r="Q451" s="607"/>
      <c r="R451" s="607"/>
      <c r="S451" s="607"/>
      <c r="T451" s="607"/>
      <c r="U451" s="607"/>
    </row>
    <row r="452" spans="15:21" ht="12.75">
      <c r="O452" s="607"/>
      <c r="P452" s="607"/>
      <c r="Q452" s="607"/>
      <c r="R452" s="607"/>
      <c r="S452" s="607"/>
      <c r="T452" s="607"/>
      <c r="U452" s="607"/>
    </row>
    <row r="453" spans="15:21" ht="12.75">
      <c r="O453" s="607"/>
      <c r="P453" s="607"/>
      <c r="Q453" s="607"/>
      <c r="R453" s="607"/>
      <c r="S453" s="607"/>
      <c r="T453" s="607"/>
      <c r="U453" s="607"/>
    </row>
    <row r="454" spans="15:21" ht="12.75">
      <c r="O454" s="607"/>
      <c r="P454" s="607"/>
      <c r="Q454" s="607"/>
      <c r="R454" s="607"/>
      <c r="S454" s="607"/>
      <c r="T454" s="607"/>
      <c r="U454" s="607"/>
    </row>
    <row r="455" spans="15:21" ht="12.75">
      <c r="O455" s="607"/>
      <c r="P455" s="607"/>
      <c r="Q455" s="607"/>
      <c r="R455" s="607"/>
      <c r="S455" s="607"/>
      <c r="T455" s="607"/>
      <c r="U455" s="607"/>
    </row>
    <row r="456" spans="15:21" ht="12.75">
      <c r="O456" s="607"/>
      <c r="P456" s="607"/>
      <c r="Q456" s="607"/>
      <c r="R456" s="607"/>
      <c r="S456" s="607"/>
      <c r="T456" s="607"/>
      <c r="U456" s="607"/>
    </row>
    <row r="457" spans="15:21" ht="12.75">
      <c r="O457" s="607"/>
      <c r="P457" s="607"/>
      <c r="Q457" s="607"/>
      <c r="R457" s="607"/>
      <c r="S457" s="607"/>
      <c r="T457" s="607"/>
      <c r="U457" s="607"/>
    </row>
    <row r="458" spans="15:21" ht="12.75">
      <c r="O458" s="607"/>
      <c r="P458" s="607"/>
      <c r="Q458" s="607"/>
      <c r="R458" s="607"/>
      <c r="S458" s="607"/>
      <c r="T458" s="607"/>
      <c r="U458" s="607"/>
    </row>
    <row r="459" spans="15:21" ht="12.75">
      <c r="O459" s="607"/>
      <c r="P459" s="607"/>
      <c r="Q459" s="607"/>
      <c r="R459" s="607"/>
      <c r="S459" s="607"/>
      <c r="T459" s="607"/>
      <c r="U459" s="607"/>
    </row>
    <row r="460" spans="15:21" ht="12.75">
      <c r="O460" s="607"/>
      <c r="P460" s="607"/>
      <c r="Q460" s="607"/>
      <c r="R460" s="607"/>
      <c r="S460" s="607"/>
      <c r="T460" s="607"/>
      <c r="U460" s="607"/>
    </row>
    <row r="461" spans="15:21" ht="12.75">
      <c r="O461" s="607"/>
      <c r="P461" s="607"/>
      <c r="Q461" s="607"/>
      <c r="R461" s="607"/>
      <c r="S461" s="607"/>
      <c r="T461" s="607"/>
      <c r="U461" s="607"/>
    </row>
    <row r="462" spans="15:21" ht="12.75">
      <c r="O462" s="607"/>
      <c r="P462" s="607"/>
      <c r="Q462" s="607"/>
      <c r="R462" s="607"/>
      <c r="S462" s="607"/>
      <c r="T462" s="607"/>
      <c r="U462" s="607"/>
    </row>
    <row r="463" spans="15:21" ht="12.75">
      <c r="O463" s="607"/>
      <c r="P463" s="607"/>
      <c r="Q463" s="607"/>
      <c r="R463" s="607"/>
      <c r="S463" s="607"/>
      <c r="T463" s="607"/>
      <c r="U463" s="607"/>
    </row>
    <row r="464" spans="15:21" ht="12.75">
      <c r="O464" s="607"/>
      <c r="P464" s="607"/>
      <c r="Q464" s="607"/>
      <c r="R464" s="607"/>
      <c r="S464" s="607"/>
      <c r="T464" s="607"/>
      <c r="U464" s="607"/>
    </row>
    <row r="465" spans="15:21" ht="12.75">
      <c r="O465" s="607"/>
      <c r="P465" s="607"/>
      <c r="Q465" s="607"/>
      <c r="R465" s="607"/>
      <c r="S465" s="607"/>
      <c r="T465" s="607"/>
      <c r="U465" s="607"/>
    </row>
    <row r="466" spans="15:21" ht="12.75">
      <c r="O466" s="607"/>
      <c r="P466" s="607"/>
      <c r="Q466" s="607"/>
      <c r="R466" s="607"/>
      <c r="S466" s="607"/>
      <c r="T466" s="607"/>
      <c r="U466" s="607"/>
    </row>
    <row r="467" spans="15:21" ht="12.75">
      <c r="O467" s="607"/>
      <c r="P467" s="607"/>
      <c r="Q467" s="607"/>
      <c r="R467" s="607"/>
      <c r="S467" s="607"/>
      <c r="T467" s="607"/>
      <c r="U467" s="607"/>
    </row>
    <row r="468" spans="15:21" ht="12.75">
      <c r="O468" s="607"/>
      <c r="P468" s="607"/>
      <c r="Q468" s="607"/>
      <c r="R468" s="607"/>
      <c r="S468" s="607"/>
      <c r="T468" s="607"/>
      <c r="U468" s="607"/>
    </row>
    <row r="469" spans="15:21" ht="12.75">
      <c r="O469" s="607"/>
      <c r="P469" s="607"/>
      <c r="Q469" s="607"/>
      <c r="R469" s="607"/>
      <c r="S469" s="607"/>
      <c r="T469" s="607"/>
      <c r="U469" s="607"/>
    </row>
    <row r="470" spans="15:21" ht="12.75">
      <c r="O470" s="607"/>
      <c r="P470" s="607"/>
      <c r="Q470" s="607"/>
      <c r="R470" s="607"/>
      <c r="S470" s="607"/>
      <c r="T470" s="607"/>
      <c r="U470" s="607"/>
    </row>
    <row r="471" spans="15:21" ht="12.75">
      <c r="O471" s="607"/>
      <c r="P471" s="607"/>
      <c r="Q471" s="607"/>
      <c r="R471" s="607"/>
      <c r="S471" s="607"/>
      <c r="T471" s="607"/>
      <c r="U471" s="607"/>
    </row>
    <row r="472" spans="15:21" ht="12.75">
      <c r="O472" s="607"/>
      <c r="P472" s="607"/>
      <c r="Q472" s="607"/>
      <c r="R472" s="607"/>
      <c r="S472" s="607"/>
      <c r="T472" s="607"/>
      <c r="U472" s="607"/>
    </row>
    <row r="473" spans="15:21" ht="12.75">
      <c r="O473" s="607"/>
      <c r="P473" s="607"/>
      <c r="Q473" s="607"/>
      <c r="R473" s="607"/>
      <c r="S473" s="607"/>
      <c r="T473" s="607"/>
      <c r="U473" s="607"/>
    </row>
    <row r="474" spans="15:21" ht="12.75">
      <c r="O474" s="607"/>
      <c r="P474" s="607"/>
      <c r="Q474" s="607"/>
      <c r="R474" s="607"/>
      <c r="S474" s="607"/>
      <c r="T474" s="607"/>
      <c r="U474" s="607"/>
    </row>
    <row r="475" spans="15:21" ht="12.75">
      <c r="O475" s="607"/>
      <c r="P475" s="607"/>
      <c r="Q475" s="607"/>
      <c r="R475" s="607"/>
      <c r="S475" s="607"/>
      <c r="T475" s="607"/>
      <c r="U475" s="607"/>
    </row>
    <row r="476" spans="15:21" ht="12.75">
      <c r="O476" s="607"/>
      <c r="P476" s="607"/>
      <c r="Q476" s="607"/>
      <c r="R476" s="607"/>
      <c r="S476" s="607"/>
      <c r="T476" s="607"/>
      <c r="U476" s="607"/>
    </row>
    <row r="477" spans="15:21" ht="12.75">
      <c r="O477" s="607"/>
      <c r="P477" s="607"/>
      <c r="Q477" s="607"/>
      <c r="R477" s="607"/>
      <c r="S477" s="607"/>
      <c r="T477" s="607"/>
      <c r="U477" s="607"/>
    </row>
    <row r="478" spans="15:21" ht="12.75">
      <c r="O478" s="607"/>
      <c r="P478" s="607"/>
      <c r="Q478" s="607"/>
      <c r="R478" s="607"/>
      <c r="S478" s="607"/>
      <c r="T478" s="607"/>
      <c r="U478" s="607"/>
    </row>
    <row r="479" spans="15:21" ht="12.75">
      <c r="O479" s="607"/>
      <c r="P479" s="607"/>
      <c r="Q479" s="607"/>
      <c r="R479" s="607"/>
      <c r="S479" s="607"/>
      <c r="T479" s="607"/>
      <c r="U479" s="607"/>
    </row>
    <row r="480" spans="15:21" ht="12.75">
      <c r="O480" s="607"/>
      <c r="P480" s="607"/>
      <c r="Q480" s="607"/>
      <c r="R480" s="607"/>
      <c r="S480" s="607"/>
      <c r="T480" s="607"/>
      <c r="U480" s="607"/>
    </row>
    <row r="481" spans="15:21" ht="12.75">
      <c r="O481" s="607"/>
      <c r="P481" s="607"/>
      <c r="Q481" s="607"/>
      <c r="R481" s="607"/>
      <c r="S481" s="607"/>
      <c r="T481" s="607"/>
      <c r="U481" s="607"/>
    </row>
    <row r="482" spans="15:21" ht="12.75">
      <c r="O482" s="607"/>
      <c r="P482" s="607"/>
      <c r="Q482" s="607"/>
      <c r="R482" s="607"/>
      <c r="S482" s="607"/>
      <c r="T482" s="607"/>
      <c r="U482" s="607"/>
    </row>
    <row r="483" spans="15:21" ht="12.75">
      <c r="O483" s="607"/>
      <c r="P483" s="607"/>
      <c r="Q483" s="607"/>
      <c r="R483" s="607"/>
      <c r="S483" s="607"/>
      <c r="T483" s="607"/>
      <c r="U483" s="607"/>
    </row>
    <row r="484" spans="15:21" ht="12.75">
      <c r="O484" s="607"/>
      <c r="P484" s="607"/>
      <c r="Q484" s="607"/>
      <c r="R484" s="607"/>
      <c r="S484" s="607"/>
      <c r="T484" s="607"/>
      <c r="U484" s="607"/>
    </row>
    <row r="485" spans="15:21" ht="12.75">
      <c r="O485" s="607"/>
      <c r="P485" s="607"/>
      <c r="Q485" s="607"/>
      <c r="R485" s="607"/>
      <c r="S485" s="607"/>
      <c r="T485" s="607"/>
      <c r="U485" s="607"/>
    </row>
    <row r="486" spans="15:21" ht="12.75">
      <c r="O486" s="607"/>
      <c r="P486" s="607"/>
      <c r="Q486" s="607"/>
      <c r="R486" s="607"/>
      <c r="S486" s="607"/>
      <c r="T486" s="607"/>
      <c r="U486" s="607"/>
    </row>
    <row r="487" spans="15:21" ht="12.75">
      <c r="O487" s="607"/>
      <c r="P487" s="607"/>
      <c r="Q487" s="607"/>
      <c r="R487" s="607"/>
      <c r="S487" s="607"/>
      <c r="T487" s="607"/>
      <c r="U487" s="607"/>
    </row>
    <row r="488" spans="15:21" ht="12.75">
      <c r="O488" s="607"/>
      <c r="P488" s="607"/>
      <c r="Q488" s="607"/>
      <c r="R488" s="607"/>
      <c r="S488" s="607"/>
      <c r="T488" s="607"/>
      <c r="U488" s="607"/>
    </row>
    <row r="489" spans="15:21" ht="12.75">
      <c r="O489" s="607"/>
      <c r="P489" s="607"/>
      <c r="Q489" s="607"/>
      <c r="R489" s="607"/>
      <c r="S489" s="607"/>
      <c r="T489" s="607"/>
      <c r="U489" s="607"/>
    </row>
    <row r="490" spans="15:21" ht="12.75">
      <c r="O490" s="607"/>
      <c r="P490" s="607"/>
      <c r="Q490" s="607"/>
      <c r="R490" s="607"/>
      <c r="S490" s="607"/>
      <c r="T490" s="607"/>
      <c r="U490" s="607"/>
    </row>
    <row r="491" spans="15:21" ht="12.75">
      <c r="O491" s="607"/>
      <c r="P491" s="607"/>
      <c r="Q491" s="607"/>
      <c r="R491" s="607"/>
      <c r="S491" s="607"/>
      <c r="T491" s="607"/>
      <c r="U491" s="607"/>
    </row>
    <row r="492" spans="15:21" ht="12.75">
      <c r="O492" s="607"/>
      <c r="P492" s="607"/>
      <c r="Q492" s="607"/>
      <c r="R492" s="607"/>
      <c r="S492" s="607"/>
      <c r="T492" s="607"/>
      <c r="U492" s="607"/>
    </row>
    <row r="493" spans="15:21" ht="12.75">
      <c r="O493" s="607"/>
      <c r="P493" s="607"/>
      <c r="Q493" s="607"/>
      <c r="R493" s="607"/>
      <c r="S493" s="607"/>
      <c r="T493" s="607"/>
      <c r="U493" s="607"/>
    </row>
    <row r="494" spans="15:21" ht="12.75">
      <c r="O494" s="607"/>
      <c r="P494" s="607"/>
      <c r="Q494" s="607"/>
      <c r="R494" s="607"/>
      <c r="S494" s="607"/>
      <c r="T494" s="607"/>
      <c r="U494" s="607"/>
    </row>
    <row r="495" spans="15:21" ht="12.75">
      <c r="O495" s="607"/>
      <c r="P495" s="607"/>
      <c r="Q495" s="607"/>
      <c r="R495" s="607"/>
      <c r="S495" s="607"/>
      <c r="T495" s="607"/>
      <c r="U495" s="607"/>
    </row>
    <row r="496" spans="15:21" ht="12.75">
      <c r="O496" s="607"/>
      <c r="P496" s="607"/>
      <c r="Q496" s="607"/>
      <c r="R496" s="607"/>
      <c r="S496" s="607"/>
      <c r="T496" s="607"/>
      <c r="U496" s="607"/>
    </row>
    <row r="497" spans="15:21" ht="12.75">
      <c r="O497" s="607"/>
      <c r="P497" s="607"/>
      <c r="Q497" s="607"/>
      <c r="R497" s="607"/>
      <c r="S497" s="607"/>
      <c r="T497" s="607"/>
      <c r="U497" s="607"/>
    </row>
    <row r="498" spans="15:21" ht="12.75">
      <c r="O498" s="607"/>
      <c r="P498" s="607"/>
      <c r="Q498" s="607"/>
      <c r="R498" s="607"/>
      <c r="S498" s="607"/>
      <c r="T498" s="607"/>
      <c r="U498" s="607"/>
    </row>
    <row r="499" spans="15:21" ht="12.75">
      <c r="O499" s="607"/>
      <c r="P499" s="607"/>
      <c r="Q499" s="607"/>
      <c r="R499" s="607"/>
      <c r="S499" s="607"/>
      <c r="T499" s="607"/>
      <c r="U499" s="607"/>
    </row>
    <row r="500" spans="15:21" ht="12.75">
      <c r="O500" s="607"/>
      <c r="P500" s="607"/>
      <c r="Q500" s="607"/>
      <c r="R500" s="607"/>
      <c r="S500" s="607"/>
      <c r="T500" s="607"/>
      <c r="U500" s="607"/>
    </row>
    <row r="501" spans="15:21" ht="12.75">
      <c r="O501" s="607"/>
      <c r="P501" s="607"/>
      <c r="Q501" s="607"/>
      <c r="R501" s="607"/>
      <c r="S501" s="607"/>
      <c r="T501" s="607"/>
      <c r="U501" s="607"/>
    </row>
    <row r="502" spans="15:21" ht="12.75">
      <c r="O502" s="607"/>
      <c r="P502" s="607"/>
      <c r="Q502" s="607"/>
      <c r="R502" s="607"/>
      <c r="S502" s="607"/>
      <c r="T502" s="607"/>
      <c r="U502" s="607"/>
    </row>
    <row r="503" spans="15:21" ht="12.75">
      <c r="O503" s="607"/>
      <c r="P503" s="607"/>
      <c r="Q503" s="607"/>
      <c r="R503" s="607"/>
      <c r="S503" s="607"/>
      <c r="T503" s="607"/>
      <c r="U503" s="607"/>
    </row>
    <row r="504" spans="15:21" ht="12.75">
      <c r="O504" s="607"/>
      <c r="P504" s="607"/>
      <c r="Q504" s="607"/>
      <c r="R504" s="607"/>
      <c r="S504" s="607"/>
      <c r="T504" s="607"/>
      <c r="U504" s="607"/>
    </row>
    <row r="505" spans="15:21" ht="12.75">
      <c r="O505" s="607"/>
      <c r="P505" s="607"/>
      <c r="Q505" s="607"/>
      <c r="R505" s="607"/>
      <c r="S505" s="607"/>
      <c r="T505" s="607"/>
      <c r="U505" s="607"/>
    </row>
    <row r="506" spans="15:21" ht="12.75">
      <c r="O506" s="607"/>
      <c r="P506" s="607"/>
      <c r="Q506" s="607"/>
      <c r="R506" s="607"/>
      <c r="S506" s="607"/>
      <c r="T506" s="607"/>
      <c r="U506" s="607"/>
    </row>
    <row r="507" spans="15:21" ht="12.75">
      <c r="O507" s="607"/>
      <c r="P507" s="607"/>
      <c r="Q507" s="607"/>
      <c r="R507" s="607"/>
      <c r="S507" s="607"/>
      <c r="T507" s="607"/>
      <c r="U507" s="607"/>
    </row>
    <row r="508" spans="15:21" ht="12.75">
      <c r="O508" s="607"/>
      <c r="P508" s="607"/>
      <c r="Q508" s="607"/>
      <c r="R508" s="607"/>
      <c r="S508" s="607"/>
      <c r="T508" s="607"/>
      <c r="U508" s="607"/>
    </row>
    <row r="509" spans="15:21" ht="12.75">
      <c r="O509" s="607"/>
      <c r="P509" s="607"/>
      <c r="Q509" s="607"/>
      <c r="R509" s="607"/>
      <c r="S509" s="607"/>
      <c r="T509" s="607"/>
      <c r="U509" s="607"/>
    </row>
    <row r="510" spans="15:21" ht="12.75">
      <c r="O510" s="607"/>
      <c r="P510" s="607"/>
      <c r="Q510" s="607"/>
      <c r="R510" s="607"/>
      <c r="S510" s="607"/>
      <c r="T510" s="607"/>
      <c r="U510" s="607"/>
    </row>
    <row r="511" spans="15:21" ht="12.75">
      <c r="O511" s="607"/>
      <c r="P511" s="607"/>
      <c r="Q511" s="607"/>
      <c r="R511" s="607"/>
      <c r="S511" s="607"/>
      <c r="T511" s="607"/>
      <c r="U511" s="607"/>
    </row>
    <row r="512" spans="15:21" ht="12.75">
      <c r="O512" s="607"/>
      <c r="P512" s="607"/>
      <c r="Q512" s="607"/>
      <c r="R512" s="607"/>
      <c r="S512" s="607"/>
      <c r="T512" s="607"/>
      <c r="U512" s="607"/>
    </row>
    <row r="513" spans="15:21" ht="12.75">
      <c r="O513" s="607"/>
      <c r="P513" s="607"/>
      <c r="Q513" s="607"/>
      <c r="R513" s="607"/>
      <c r="S513" s="607"/>
      <c r="T513" s="607"/>
      <c r="U513" s="607"/>
    </row>
    <row r="514" spans="15:21" ht="12.75">
      <c r="O514" s="607"/>
      <c r="P514" s="607"/>
      <c r="Q514" s="607"/>
      <c r="R514" s="607"/>
      <c r="S514" s="607"/>
      <c r="T514" s="607"/>
      <c r="U514" s="607"/>
    </row>
    <row r="515" spans="15:21" ht="12.75">
      <c r="O515" s="607"/>
      <c r="P515" s="607"/>
      <c r="Q515" s="607"/>
      <c r="R515" s="607"/>
      <c r="S515" s="607"/>
      <c r="T515" s="607"/>
      <c r="U515" s="607"/>
    </row>
    <row r="516" spans="15:21" ht="12.75">
      <c r="O516" s="607"/>
      <c r="P516" s="607"/>
      <c r="Q516" s="607"/>
      <c r="R516" s="607"/>
      <c r="S516" s="607"/>
      <c r="T516" s="607"/>
      <c r="U516" s="607"/>
    </row>
    <row r="517" spans="15:21" ht="12.75">
      <c r="O517" s="607"/>
      <c r="P517" s="607"/>
      <c r="Q517" s="607"/>
      <c r="R517" s="607"/>
      <c r="S517" s="607"/>
      <c r="T517" s="607"/>
      <c r="U517" s="607"/>
    </row>
    <row r="518" spans="15:21" ht="12.75">
      <c r="O518" s="607"/>
      <c r="P518" s="607"/>
      <c r="Q518" s="607"/>
      <c r="R518" s="607"/>
      <c r="S518" s="607"/>
      <c r="T518" s="607"/>
      <c r="U518" s="607"/>
    </row>
    <row r="519" spans="15:21" ht="12.75">
      <c r="O519" s="607"/>
      <c r="P519" s="607"/>
      <c r="Q519" s="607"/>
      <c r="R519" s="607"/>
      <c r="S519" s="607"/>
      <c r="T519" s="607"/>
      <c r="U519" s="607"/>
    </row>
    <row r="520" spans="15:21" ht="12.75">
      <c r="O520" s="607"/>
      <c r="P520" s="607"/>
      <c r="Q520" s="607"/>
      <c r="R520" s="607"/>
      <c r="S520" s="607"/>
      <c r="T520" s="607"/>
      <c r="U520" s="607"/>
    </row>
    <row r="521" spans="15:21" ht="12.75">
      <c r="O521" s="607"/>
      <c r="P521" s="607"/>
      <c r="Q521" s="607"/>
      <c r="R521" s="607"/>
      <c r="S521" s="607"/>
      <c r="T521" s="607"/>
      <c r="U521" s="607"/>
    </row>
    <row r="522" spans="15:21" ht="12.75">
      <c r="O522" s="607"/>
      <c r="P522" s="607"/>
      <c r="Q522" s="607"/>
      <c r="R522" s="607"/>
      <c r="S522" s="607"/>
      <c r="T522" s="607"/>
      <c r="U522" s="607"/>
    </row>
    <row r="523" spans="15:21" ht="12.75">
      <c r="O523" s="607"/>
      <c r="P523" s="607"/>
      <c r="Q523" s="607"/>
      <c r="R523" s="607"/>
      <c r="S523" s="607"/>
      <c r="T523" s="607"/>
      <c r="U523" s="607"/>
    </row>
    <row r="524" spans="15:21" ht="12.75">
      <c r="O524" s="607"/>
      <c r="P524" s="607"/>
      <c r="Q524" s="607"/>
      <c r="R524" s="607"/>
      <c r="S524" s="607"/>
      <c r="T524" s="607"/>
      <c r="U524" s="607"/>
    </row>
    <row r="525" spans="15:21" ht="12.75">
      <c r="O525" s="607"/>
      <c r="P525" s="607"/>
      <c r="Q525" s="607"/>
      <c r="R525" s="607"/>
      <c r="S525" s="607"/>
      <c r="T525" s="607"/>
      <c r="U525" s="607"/>
    </row>
    <row r="526" spans="15:21" ht="12.75">
      <c r="O526" s="607"/>
      <c r="P526" s="607"/>
      <c r="Q526" s="607"/>
      <c r="R526" s="607"/>
      <c r="S526" s="607"/>
      <c r="T526" s="607"/>
      <c r="U526" s="607"/>
    </row>
    <row r="527" spans="15:21" ht="12.75">
      <c r="O527" s="607"/>
      <c r="P527" s="607"/>
      <c r="Q527" s="607"/>
      <c r="R527" s="607"/>
      <c r="S527" s="607"/>
      <c r="T527" s="607"/>
      <c r="U527" s="607"/>
    </row>
    <row r="528" spans="15:21" ht="12.75">
      <c r="O528" s="607"/>
      <c r="P528" s="607"/>
      <c r="Q528" s="607"/>
      <c r="R528" s="607"/>
      <c r="S528" s="607"/>
      <c r="T528" s="607"/>
      <c r="U528" s="607"/>
    </row>
    <row r="529" spans="15:21" ht="12.75">
      <c r="O529" s="607"/>
      <c r="P529" s="607"/>
      <c r="Q529" s="607"/>
      <c r="R529" s="607"/>
      <c r="S529" s="607"/>
      <c r="T529" s="607"/>
      <c r="U529" s="607"/>
    </row>
    <row r="530" spans="15:21" ht="12.75">
      <c r="O530" s="607"/>
      <c r="P530" s="607"/>
      <c r="Q530" s="607"/>
      <c r="R530" s="607"/>
      <c r="S530" s="607"/>
      <c r="T530" s="607"/>
      <c r="U530" s="607"/>
    </row>
    <row r="531" spans="15:21" ht="12.75">
      <c r="O531" s="607"/>
      <c r="P531" s="607"/>
      <c r="Q531" s="607"/>
      <c r="R531" s="607"/>
      <c r="S531" s="607"/>
      <c r="T531" s="607"/>
      <c r="U531" s="607"/>
    </row>
    <row r="532" spans="15:21" ht="12.75">
      <c r="O532" s="607"/>
      <c r="P532" s="607"/>
      <c r="Q532" s="607"/>
      <c r="R532" s="607"/>
      <c r="S532" s="607"/>
      <c r="T532" s="607"/>
      <c r="U532" s="607"/>
    </row>
    <row r="533" spans="15:21" ht="12.75">
      <c r="O533" s="607"/>
      <c r="P533" s="607"/>
      <c r="Q533" s="607"/>
      <c r="R533" s="607"/>
      <c r="S533" s="607"/>
      <c r="T533" s="607"/>
      <c r="U533" s="607"/>
    </row>
    <row r="534" spans="15:21" ht="12.75">
      <c r="O534" s="607"/>
      <c r="P534" s="607"/>
      <c r="Q534" s="607"/>
      <c r="R534" s="607"/>
      <c r="S534" s="607"/>
      <c r="T534" s="607"/>
      <c r="U534" s="607"/>
    </row>
    <row r="535" spans="15:21" ht="12.75">
      <c r="O535" s="607"/>
      <c r="P535" s="607"/>
      <c r="Q535" s="607"/>
      <c r="R535" s="607"/>
      <c r="S535" s="607"/>
      <c r="T535" s="607"/>
      <c r="U535" s="607"/>
    </row>
    <row r="536" spans="15:21" ht="12.75">
      <c r="O536" s="607"/>
      <c r="P536" s="607"/>
      <c r="Q536" s="607"/>
      <c r="R536" s="607"/>
      <c r="S536" s="607"/>
      <c r="T536" s="607"/>
      <c r="U536" s="607"/>
    </row>
    <row r="537" spans="15:21" ht="12.75">
      <c r="O537" s="607"/>
      <c r="P537" s="607"/>
      <c r="Q537" s="607"/>
      <c r="R537" s="607"/>
      <c r="S537" s="607"/>
      <c r="T537" s="607"/>
      <c r="U537" s="607"/>
    </row>
    <row r="538" spans="15:21" ht="12.75">
      <c r="O538" s="607"/>
      <c r="P538" s="607"/>
      <c r="Q538" s="607"/>
      <c r="R538" s="607"/>
      <c r="S538" s="607"/>
      <c r="T538" s="607"/>
      <c r="U538" s="607"/>
    </row>
    <row r="539" spans="15:21" ht="12.75">
      <c r="O539" s="607"/>
      <c r="P539" s="607"/>
      <c r="Q539" s="607"/>
      <c r="R539" s="607"/>
      <c r="S539" s="607"/>
      <c r="T539" s="607"/>
      <c r="U539" s="607"/>
    </row>
    <row r="540" spans="15:21" ht="12.75">
      <c r="O540" s="607"/>
      <c r="P540" s="607"/>
      <c r="Q540" s="607"/>
      <c r="R540" s="607"/>
      <c r="S540" s="607"/>
      <c r="T540" s="607"/>
      <c r="U540" s="607"/>
    </row>
    <row r="541" spans="15:21" ht="12.75">
      <c r="O541" s="607"/>
      <c r="P541" s="607"/>
      <c r="Q541" s="607"/>
      <c r="R541" s="607"/>
      <c r="S541" s="607"/>
      <c r="T541" s="607"/>
      <c r="U541" s="607"/>
    </row>
    <row r="542" spans="15:21" ht="12.75">
      <c r="O542" s="607"/>
      <c r="P542" s="607"/>
      <c r="Q542" s="607"/>
      <c r="R542" s="607"/>
      <c r="S542" s="607"/>
      <c r="T542" s="607"/>
      <c r="U542" s="607"/>
    </row>
    <row r="543" spans="15:21" ht="12.75">
      <c r="O543" s="607"/>
      <c r="P543" s="607"/>
      <c r="Q543" s="607"/>
      <c r="R543" s="607"/>
      <c r="S543" s="607"/>
      <c r="T543" s="607"/>
      <c r="U543" s="607"/>
    </row>
    <row r="544" spans="15:21" ht="12.75">
      <c r="O544" s="607"/>
      <c r="P544" s="607"/>
      <c r="Q544" s="607"/>
      <c r="R544" s="607"/>
      <c r="S544" s="607"/>
      <c r="T544" s="607"/>
      <c r="U544" s="607"/>
    </row>
    <row r="545" spans="15:21" ht="12.75">
      <c r="O545" s="607"/>
      <c r="P545" s="607"/>
      <c r="Q545" s="607"/>
      <c r="R545" s="607"/>
      <c r="S545" s="607"/>
      <c r="T545" s="607"/>
      <c r="U545" s="607"/>
    </row>
    <row r="546" spans="15:21" ht="12.75">
      <c r="O546" s="607"/>
      <c r="P546" s="607"/>
      <c r="Q546" s="607"/>
      <c r="R546" s="607"/>
      <c r="S546" s="607"/>
      <c r="T546" s="607"/>
      <c r="U546" s="607"/>
    </row>
    <row r="547" spans="15:21" ht="12.75">
      <c r="O547" s="607"/>
      <c r="P547" s="607"/>
      <c r="Q547" s="607"/>
      <c r="R547" s="607"/>
      <c r="S547" s="607"/>
      <c r="T547" s="607"/>
      <c r="U547" s="607"/>
    </row>
    <row r="548" spans="15:21" ht="12.75">
      <c r="O548" s="607"/>
      <c r="P548" s="607"/>
      <c r="Q548" s="607"/>
      <c r="R548" s="607"/>
      <c r="S548" s="607"/>
      <c r="T548" s="607"/>
      <c r="U548" s="607"/>
    </row>
    <row r="549" spans="15:21" ht="12.75">
      <c r="O549" s="607"/>
      <c r="P549" s="607"/>
      <c r="Q549" s="607"/>
      <c r="R549" s="607"/>
      <c r="S549" s="607"/>
      <c r="T549" s="607"/>
      <c r="U549" s="607"/>
    </row>
    <row r="550" spans="15:21" ht="12.75">
      <c r="O550" s="607"/>
      <c r="P550" s="607"/>
      <c r="Q550" s="607"/>
      <c r="R550" s="607"/>
      <c r="S550" s="607"/>
      <c r="T550" s="607"/>
      <c r="U550" s="607"/>
    </row>
    <row r="551" spans="15:21" ht="12.75">
      <c r="O551" s="607"/>
      <c r="P551" s="607"/>
      <c r="Q551" s="607"/>
      <c r="R551" s="607"/>
      <c r="S551" s="607"/>
      <c r="T551" s="607"/>
      <c r="U551" s="607"/>
    </row>
    <row r="552" spans="15:21" ht="12.75">
      <c r="O552" s="607"/>
      <c r="P552" s="607"/>
      <c r="Q552" s="607"/>
      <c r="R552" s="607"/>
      <c r="S552" s="607"/>
      <c r="T552" s="607"/>
      <c r="U552" s="607"/>
    </row>
    <row r="553" spans="15:21" ht="12.75">
      <c r="O553" s="607"/>
      <c r="P553" s="607"/>
      <c r="Q553" s="607"/>
      <c r="R553" s="607"/>
      <c r="S553" s="607"/>
      <c r="T553" s="607"/>
      <c r="U553" s="607"/>
    </row>
    <row r="554" spans="15:21" ht="12.75">
      <c r="O554" s="607"/>
      <c r="P554" s="607"/>
      <c r="Q554" s="607"/>
      <c r="R554" s="607"/>
      <c r="S554" s="607"/>
      <c r="T554" s="607"/>
      <c r="U554" s="607"/>
    </row>
    <row r="555" spans="15:21" ht="12.75">
      <c r="O555" s="607"/>
      <c r="P555" s="607"/>
      <c r="Q555" s="607"/>
      <c r="R555" s="607"/>
      <c r="S555" s="607"/>
      <c r="T555" s="607"/>
      <c r="U555" s="607"/>
    </row>
    <row r="556" spans="15:21" ht="12.75">
      <c r="O556" s="607"/>
      <c r="P556" s="607"/>
      <c r="Q556" s="607"/>
      <c r="R556" s="607"/>
      <c r="S556" s="607"/>
      <c r="T556" s="607"/>
      <c r="U556" s="607"/>
    </row>
    <row r="557" spans="15:21" ht="12.75">
      <c r="O557" s="607"/>
      <c r="P557" s="607"/>
      <c r="Q557" s="607"/>
      <c r="R557" s="607"/>
      <c r="S557" s="607"/>
      <c r="T557" s="607"/>
      <c r="U557" s="607"/>
    </row>
    <row r="558" spans="15:21" ht="12.75">
      <c r="O558" s="607"/>
      <c r="P558" s="607"/>
      <c r="Q558" s="607"/>
      <c r="R558" s="607"/>
      <c r="S558" s="607"/>
      <c r="T558" s="607"/>
      <c r="U558" s="607"/>
    </row>
    <row r="559" spans="15:21" ht="12.75">
      <c r="O559" s="607"/>
      <c r="P559" s="607"/>
      <c r="Q559" s="607"/>
      <c r="R559" s="607"/>
      <c r="S559" s="607"/>
      <c r="T559" s="607"/>
      <c r="U559" s="607"/>
    </row>
    <row r="560" spans="15:21" ht="12.75">
      <c r="O560" s="607"/>
      <c r="P560" s="607"/>
      <c r="Q560" s="607"/>
      <c r="R560" s="607"/>
      <c r="S560" s="607"/>
      <c r="T560" s="607"/>
      <c r="U560" s="607"/>
    </row>
    <row r="561" spans="15:21" ht="12.75">
      <c r="O561" s="607"/>
      <c r="P561" s="607"/>
      <c r="Q561" s="607"/>
      <c r="R561" s="607"/>
      <c r="S561" s="607"/>
      <c r="T561" s="607"/>
      <c r="U561" s="607"/>
    </row>
    <row r="562" spans="15:21" ht="12.75">
      <c r="O562" s="607"/>
      <c r="P562" s="607"/>
      <c r="Q562" s="607"/>
      <c r="R562" s="607"/>
      <c r="S562" s="607"/>
      <c r="T562" s="607"/>
      <c r="U562" s="607"/>
    </row>
    <row r="563" spans="15:21" ht="12.75">
      <c r="O563" s="607"/>
      <c r="P563" s="607"/>
      <c r="Q563" s="607"/>
      <c r="R563" s="607"/>
      <c r="S563" s="607"/>
      <c r="T563" s="607"/>
      <c r="U563" s="607"/>
    </row>
    <row r="564" spans="15:21" ht="12.75">
      <c r="O564" s="607"/>
      <c r="P564" s="607"/>
      <c r="Q564" s="607"/>
      <c r="R564" s="607"/>
      <c r="S564" s="607"/>
      <c r="T564" s="607"/>
      <c r="U564" s="607"/>
    </row>
    <row r="565" spans="15:21" ht="12.75">
      <c r="O565" s="607"/>
      <c r="P565" s="607"/>
      <c r="Q565" s="607"/>
      <c r="R565" s="607"/>
      <c r="S565" s="607"/>
      <c r="T565" s="607"/>
      <c r="U565" s="607"/>
    </row>
    <row r="566" spans="15:21" ht="12.75">
      <c r="O566" s="607"/>
      <c r="P566" s="607"/>
      <c r="Q566" s="607"/>
      <c r="R566" s="607"/>
      <c r="S566" s="607"/>
      <c r="T566" s="607"/>
      <c r="U566" s="607"/>
    </row>
    <row r="567" spans="15:21" ht="12.75">
      <c r="O567" s="607"/>
      <c r="P567" s="607"/>
      <c r="Q567" s="607"/>
      <c r="R567" s="607"/>
      <c r="S567" s="607"/>
      <c r="T567" s="607"/>
      <c r="U567" s="607"/>
    </row>
    <row r="568" spans="15:21" ht="12.75">
      <c r="O568" s="607"/>
      <c r="P568" s="607"/>
      <c r="Q568" s="607"/>
      <c r="R568" s="607"/>
      <c r="S568" s="607"/>
      <c r="T568" s="607"/>
      <c r="U568" s="607"/>
    </row>
    <row r="569" spans="15:21" ht="12.75">
      <c r="O569" s="607"/>
      <c r="P569" s="607"/>
      <c r="Q569" s="607"/>
      <c r="R569" s="607"/>
      <c r="S569" s="607"/>
      <c r="T569" s="607"/>
      <c r="U569" s="607"/>
    </row>
    <row r="570" spans="15:21" ht="12.75">
      <c r="O570" s="607"/>
      <c r="P570" s="607"/>
      <c r="Q570" s="607"/>
      <c r="R570" s="607"/>
      <c r="S570" s="607"/>
      <c r="T570" s="607"/>
      <c r="U570" s="607"/>
    </row>
    <row r="571" spans="15:21" ht="12.75">
      <c r="O571" s="607"/>
      <c r="P571" s="607"/>
      <c r="Q571" s="607"/>
      <c r="R571" s="607"/>
      <c r="S571" s="607"/>
      <c r="T571" s="607"/>
      <c r="U571" s="607"/>
    </row>
    <row r="572" spans="15:21" ht="12.75">
      <c r="O572" s="607"/>
      <c r="P572" s="607"/>
      <c r="Q572" s="607"/>
      <c r="R572" s="607"/>
      <c r="S572" s="607"/>
      <c r="T572" s="607"/>
      <c r="U572" s="607"/>
    </row>
    <row r="573" spans="15:21" ht="12.75">
      <c r="O573" s="607"/>
      <c r="P573" s="607"/>
      <c r="Q573" s="607"/>
      <c r="R573" s="607"/>
      <c r="S573" s="607"/>
      <c r="T573" s="607"/>
      <c r="U573" s="607"/>
    </row>
    <row r="574" spans="15:21" ht="12.75">
      <c r="O574" s="607"/>
      <c r="P574" s="607"/>
      <c r="Q574" s="607"/>
      <c r="R574" s="607"/>
      <c r="S574" s="607"/>
      <c r="T574" s="607"/>
      <c r="U574" s="607"/>
    </row>
    <row r="575" spans="15:21" ht="12.75">
      <c r="O575" s="607"/>
      <c r="P575" s="607"/>
      <c r="Q575" s="607"/>
      <c r="R575" s="607"/>
      <c r="S575" s="607"/>
      <c r="T575" s="607"/>
      <c r="U575" s="607"/>
    </row>
    <row r="576" spans="15:21" ht="12.75">
      <c r="O576" s="607"/>
      <c r="P576" s="607"/>
      <c r="Q576" s="607"/>
      <c r="R576" s="607"/>
      <c r="S576" s="607"/>
      <c r="T576" s="607"/>
      <c r="U576" s="607"/>
    </row>
    <row r="577" spans="15:21" ht="12.75">
      <c r="O577" s="607"/>
      <c r="P577" s="607"/>
      <c r="Q577" s="607"/>
      <c r="R577" s="607"/>
      <c r="S577" s="607"/>
      <c r="T577" s="607"/>
      <c r="U577" s="607"/>
    </row>
    <row r="578" spans="15:21" ht="12.75">
      <c r="O578" s="607"/>
      <c r="P578" s="607"/>
      <c r="Q578" s="607"/>
      <c r="R578" s="607"/>
      <c r="S578" s="607"/>
      <c r="T578" s="607"/>
      <c r="U578" s="607"/>
    </row>
    <row r="579" spans="15:21" ht="12.75">
      <c r="O579" s="607"/>
      <c r="P579" s="607"/>
      <c r="Q579" s="607"/>
      <c r="R579" s="607"/>
      <c r="S579" s="607"/>
      <c r="T579" s="607"/>
      <c r="U579" s="607"/>
    </row>
    <row r="580" spans="15:21" ht="12.75">
      <c r="O580" s="607"/>
      <c r="P580" s="607"/>
      <c r="Q580" s="607"/>
      <c r="R580" s="607"/>
      <c r="S580" s="607"/>
      <c r="T580" s="607"/>
      <c r="U580" s="607"/>
    </row>
    <row r="581" spans="15:21" ht="12.75">
      <c r="O581" s="607"/>
      <c r="P581" s="607"/>
      <c r="Q581" s="607"/>
      <c r="R581" s="607"/>
      <c r="S581" s="607"/>
      <c r="T581" s="607"/>
      <c r="U581" s="607"/>
    </row>
    <row r="582" spans="15:21" ht="12.75">
      <c r="O582" s="607"/>
      <c r="P582" s="607"/>
      <c r="Q582" s="607"/>
      <c r="R582" s="607"/>
      <c r="S582" s="607"/>
      <c r="T582" s="607"/>
      <c r="U582" s="607"/>
    </row>
    <row r="583" spans="15:21" ht="12.75">
      <c r="O583" s="607"/>
      <c r="P583" s="607"/>
      <c r="Q583" s="607"/>
      <c r="R583" s="607"/>
      <c r="S583" s="607"/>
      <c r="T583" s="607"/>
      <c r="U583" s="607"/>
    </row>
    <row r="584" spans="15:21" ht="12.75">
      <c r="O584" s="607"/>
      <c r="P584" s="607"/>
      <c r="Q584" s="607"/>
      <c r="R584" s="607"/>
      <c r="S584" s="607"/>
      <c r="T584" s="607"/>
      <c r="U584" s="607"/>
    </row>
    <row r="585" spans="15:21" ht="12.75">
      <c r="O585" s="607"/>
      <c r="P585" s="607"/>
      <c r="Q585" s="607"/>
      <c r="R585" s="607"/>
      <c r="S585" s="607"/>
      <c r="T585" s="607"/>
      <c r="U585" s="607"/>
    </row>
    <row r="586" spans="15:21" ht="12.75">
      <c r="O586" s="607"/>
      <c r="P586" s="607"/>
      <c r="Q586" s="607"/>
      <c r="R586" s="607"/>
      <c r="S586" s="607"/>
      <c r="T586" s="607"/>
      <c r="U586" s="607"/>
    </row>
    <row r="587" spans="15:21" ht="12.75">
      <c r="O587" s="607"/>
      <c r="P587" s="607"/>
      <c r="Q587" s="607"/>
      <c r="R587" s="607"/>
      <c r="S587" s="607"/>
      <c r="T587" s="607"/>
      <c r="U587" s="607"/>
    </row>
    <row r="588" spans="15:21" ht="12.75">
      <c r="O588" s="607"/>
      <c r="P588" s="607"/>
      <c r="Q588" s="607"/>
      <c r="R588" s="607"/>
      <c r="S588" s="607"/>
      <c r="T588" s="607"/>
      <c r="U588" s="607"/>
    </row>
    <row r="589" spans="15:21" ht="12.75">
      <c r="O589" s="607"/>
      <c r="P589" s="607"/>
      <c r="Q589" s="607"/>
      <c r="R589" s="607"/>
      <c r="S589" s="607"/>
      <c r="T589" s="607"/>
      <c r="U589" s="607"/>
    </row>
    <row r="590" spans="15:21" ht="12.75">
      <c r="O590" s="607"/>
      <c r="P590" s="607"/>
      <c r="Q590" s="607"/>
      <c r="R590" s="607"/>
      <c r="S590" s="607"/>
      <c r="T590" s="607"/>
      <c r="U590" s="607"/>
    </row>
    <row r="591" spans="15:21" ht="12.75">
      <c r="O591" s="607"/>
      <c r="P591" s="607"/>
      <c r="Q591" s="607"/>
      <c r="R591" s="607"/>
      <c r="S591" s="607"/>
      <c r="T591" s="607"/>
      <c r="U591" s="607"/>
    </row>
    <row r="592" spans="15:21" ht="12.75">
      <c r="O592" s="607"/>
      <c r="P592" s="607"/>
      <c r="Q592" s="607"/>
      <c r="R592" s="607"/>
      <c r="S592" s="607"/>
      <c r="T592" s="607"/>
      <c r="U592" s="607"/>
    </row>
    <row r="593" spans="15:21" ht="12.75">
      <c r="O593" s="607"/>
      <c r="P593" s="607"/>
      <c r="Q593" s="607"/>
      <c r="R593" s="607"/>
      <c r="S593" s="607"/>
      <c r="T593" s="607"/>
      <c r="U593" s="607"/>
    </row>
    <row r="594" spans="15:21" ht="12.75">
      <c r="O594" s="607"/>
      <c r="P594" s="607"/>
      <c r="Q594" s="607"/>
      <c r="R594" s="607"/>
      <c r="S594" s="607"/>
      <c r="T594" s="607"/>
      <c r="U594" s="607"/>
    </row>
    <row r="595" spans="15:21" ht="12.75">
      <c r="O595" s="607"/>
      <c r="P595" s="607"/>
      <c r="Q595" s="607"/>
      <c r="R595" s="607"/>
      <c r="S595" s="607"/>
      <c r="T595" s="607"/>
      <c r="U595" s="607"/>
    </row>
    <row r="596" spans="15:21" ht="12.75">
      <c r="O596" s="607"/>
      <c r="P596" s="607"/>
      <c r="Q596" s="607"/>
      <c r="R596" s="607"/>
      <c r="S596" s="607"/>
      <c r="T596" s="607"/>
      <c r="U596" s="607"/>
    </row>
    <row r="597" spans="15:21" ht="12.75">
      <c r="O597" s="607"/>
      <c r="P597" s="607"/>
      <c r="Q597" s="607"/>
      <c r="R597" s="607"/>
      <c r="S597" s="607"/>
      <c r="T597" s="607"/>
      <c r="U597" s="607"/>
    </row>
    <row r="598" spans="15:21" ht="12.75">
      <c r="O598" s="607"/>
      <c r="P598" s="607"/>
      <c r="Q598" s="607"/>
      <c r="R598" s="607"/>
      <c r="S598" s="607"/>
      <c r="T598" s="607"/>
      <c r="U598" s="607"/>
    </row>
    <row r="599" spans="15:21" ht="12.75">
      <c r="O599" s="607"/>
      <c r="P599" s="607"/>
      <c r="Q599" s="607"/>
      <c r="R599" s="607"/>
      <c r="S599" s="607"/>
      <c r="T599" s="607"/>
      <c r="U599" s="607"/>
    </row>
    <row r="600" spans="15:21" ht="12.75">
      <c r="O600" s="607"/>
      <c r="P600" s="607"/>
      <c r="Q600" s="607"/>
      <c r="R600" s="607"/>
      <c r="S600" s="607"/>
      <c r="T600" s="607"/>
      <c r="U600" s="607"/>
    </row>
    <row r="601" spans="15:21" ht="12.75">
      <c r="O601" s="607"/>
      <c r="P601" s="607"/>
      <c r="Q601" s="607"/>
      <c r="R601" s="607"/>
      <c r="S601" s="607"/>
      <c r="T601" s="607"/>
      <c r="U601" s="607"/>
    </row>
    <row r="602" spans="15:21" ht="12.75">
      <c r="O602" s="607"/>
      <c r="P602" s="607"/>
      <c r="Q602" s="607"/>
      <c r="R602" s="607"/>
      <c r="S602" s="607"/>
      <c r="T602" s="607"/>
      <c r="U602" s="607"/>
    </row>
    <row r="603" spans="15:21" ht="12.75">
      <c r="O603" s="607"/>
      <c r="P603" s="607"/>
      <c r="Q603" s="607"/>
      <c r="R603" s="607"/>
      <c r="S603" s="607"/>
      <c r="T603" s="607"/>
      <c r="U603" s="607"/>
    </row>
    <row r="604" spans="15:21" ht="12.75">
      <c r="O604" s="607"/>
      <c r="P604" s="607"/>
      <c r="Q604" s="607"/>
      <c r="R604" s="607"/>
      <c r="S604" s="607"/>
      <c r="T604" s="607"/>
      <c r="U604" s="607"/>
    </row>
    <row r="605" spans="15:21" ht="12.75">
      <c r="O605" s="607"/>
      <c r="P605" s="607"/>
      <c r="Q605" s="607"/>
      <c r="R605" s="607"/>
      <c r="S605" s="607"/>
      <c r="T605" s="607"/>
      <c r="U605" s="607"/>
    </row>
    <row r="606" spans="15:21" ht="12.75">
      <c r="O606" s="607"/>
      <c r="P606" s="607"/>
      <c r="Q606" s="607"/>
      <c r="R606" s="607"/>
      <c r="S606" s="607"/>
      <c r="T606" s="607"/>
      <c r="U606" s="607"/>
    </row>
    <row r="607" spans="15:21" ht="12.75">
      <c r="O607" s="607"/>
      <c r="P607" s="607"/>
      <c r="Q607" s="607"/>
      <c r="R607" s="607"/>
      <c r="S607" s="607"/>
      <c r="T607" s="607"/>
      <c r="U607" s="607"/>
    </row>
    <row r="608" spans="15:21" ht="12.75">
      <c r="O608" s="607"/>
      <c r="P608" s="607"/>
      <c r="Q608" s="607"/>
      <c r="R608" s="607"/>
      <c r="S608" s="607"/>
      <c r="T608" s="607"/>
      <c r="U608" s="607"/>
    </row>
    <row r="609" spans="15:21" ht="12.75">
      <c r="O609" s="607"/>
      <c r="P609" s="607"/>
      <c r="Q609" s="607"/>
      <c r="R609" s="607"/>
      <c r="S609" s="607"/>
      <c r="T609" s="607"/>
      <c r="U609" s="607"/>
    </row>
    <row r="610" spans="15:21" ht="12.75">
      <c r="O610" s="607"/>
      <c r="P610" s="607"/>
      <c r="Q610" s="607"/>
      <c r="R610" s="607"/>
      <c r="S610" s="607"/>
      <c r="T610" s="607"/>
      <c r="U610" s="607"/>
    </row>
    <row r="611" spans="15:21" ht="12.75">
      <c r="O611" s="607"/>
      <c r="P611" s="607"/>
      <c r="Q611" s="607"/>
      <c r="R611" s="607"/>
      <c r="S611" s="607"/>
      <c r="T611" s="607"/>
      <c r="U611" s="607"/>
    </row>
    <row r="612" spans="15:21" ht="12.75">
      <c r="O612" s="607"/>
      <c r="P612" s="607"/>
      <c r="Q612" s="607"/>
      <c r="R612" s="607"/>
      <c r="S612" s="607"/>
      <c r="T612" s="607"/>
      <c r="U612" s="607"/>
    </row>
    <row r="613" spans="15:21" ht="12.75">
      <c r="O613" s="607"/>
      <c r="P613" s="607"/>
      <c r="Q613" s="607"/>
      <c r="R613" s="607"/>
      <c r="S613" s="607"/>
      <c r="T613" s="607"/>
      <c r="U613" s="607"/>
    </row>
    <row r="614" spans="15:21" ht="12.75">
      <c r="O614" s="607"/>
      <c r="P614" s="607"/>
      <c r="Q614" s="607"/>
      <c r="R614" s="607"/>
      <c r="S614" s="607"/>
      <c r="T614" s="607"/>
      <c r="U614" s="607"/>
    </row>
    <row r="615" spans="15:21" ht="12.75">
      <c r="O615" s="607"/>
      <c r="P615" s="607"/>
      <c r="Q615" s="607"/>
      <c r="R615" s="607"/>
      <c r="S615" s="607"/>
      <c r="T615" s="607"/>
      <c r="U615" s="607"/>
    </row>
    <row r="616" spans="15:21" ht="12.75">
      <c r="O616" s="607"/>
      <c r="P616" s="607"/>
      <c r="Q616" s="607"/>
      <c r="R616" s="607"/>
      <c r="S616" s="607"/>
      <c r="T616" s="607"/>
      <c r="U616" s="607"/>
    </row>
    <row r="617" spans="15:21" ht="12.75">
      <c r="O617" s="607"/>
      <c r="P617" s="607"/>
      <c r="Q617" s="607"/>
      <c r="R617" s="607"/>
      <c r="S617" s="607"/>
      <c r="T617" s="607"/>
      <c r="U617" s="607"/>
    </row>
    <row r="618" spans="15:21" ht="12.75">
      <c r="O618" s="607"/>
      <c r="P618" s="607"/>
      <c r="Q618" s="607"/>
      <c r="R618" s="607"/>
      <c r="S618" s="607"/>
      <c r="T618" s="607"/>
      <c r="U618" s="607"/>
    </row>
    <row r="619" spans="15:21" ht="12.75">
      <c r="O619" s="607"/>
      <c r="P619" s="607"/>
      <c r="Q619" s="607"/>
      <c r="R619" s="607"/>
      <c r="S619" s="607"/>
      <c r="T619" s="607"/>
      <c r="U619" s="607"/>
    </row>
    <row r="620" spans="15:21" ht="12.75">
      <c r="O620" s="607"/>
      <c r="P620" s="607"/>
      <c r="Q620" s="607"/>
      <c r="R620" s="607"/>
      <c r="S620" s="607"/>
      <c r="T620" s="607"/>
      <c r="U620" s="607"/>
    </row>
    <row r="621" spans="15:21" ht="12.75">
      <c r="O621" s="607"/>
      <c r="P621" s="607"/>
      <c r="Q621" s="607"/>
      <c r="R621" s="607"/>
      <c r="S621" s="607"/>
      <c r="T621" s="607"/>
      <c r="U621" s="607"/>
    </row>
    <row r="622" spans="15:21" ht="12.75">
      <c r="O622" s="607"/>
      <c r="P622" s="607"/>
      <c r="Q622" s="607"/>
      <c r="R622" s="607"/>
      <c r="S622" s="607"/>
      <c r="T622" s="607"/>
      <c r="U622" s="607"/>
    </row>
    <row r="623" spans="15:21" ht="12.75">
      <c r="O623" s="607"/>
      <c r="P623" s="607"/>
      <c r="Q623" s="607"/>
      <c r="R623" s="607"/>
      <c r="S623" s="607"/>
      <c r="T623" s="607"/>
      <c r="U623" s="607"/>
    </row>
    <row r="624" spans="15:21" ht="12.75">
      <c r="O624" s="607"/>
      <c r="P624" s="607"/>
      <c r="Q624" s="607"/>
      <c r="R624" s="607"/>
      <c r="S624" s="607"/>
      <c r="T624" s="607"/>
      <c r="U624" s="607"/>
    </row>
    <row r="625" spans="15:21" ht="12.75">
      <c r="O625" s="607"/>
      <c r="P625" s="607"/>
      <c r="Q625" s="607"/>
      <c r="R625" s="607"/>
      <c r="S625" s="607"/>
      <c r="T625" s="607"/>
      <c r="U625" s="607"/>
    </row>
    <row r="626" spans="15:21" ht="12.75">
      <c r="O626" s="607"/>
      <c r="P626" s="607"/>
      <c r="Q626" s="607"/>
      <c r="R626" s="607"/>
      <c r="S626" s="607"/>
      <c r="T626" s="607"/>
      <c r="U626" s="607"/>
    </row>
    <row r="627" spans="15:21" ht="12.75">
      <c r="O627" s="607"/>
      <c r="P627" s="607"/>
      <c r="Q627" s="607"/>
      <c r="R627" s="607"/>
      <c r="S627" s="607"/>
      <c r="T627" s="607"/>
      <c r="U627" s="607"/>
    </row>
    <row r="628" spans="15:21" ht="12.75">
      <c r="O628" s="607"/>
      <c r="P628" s="607"/>
      <c r="Q628" s="607"/>
      <c r="R628" s="607"/>
      <c r="S628" s="607"/>
      <c r="T628" s="607"/>
      <c r="U628" s="607"/>
    </row>
    <row r="629" spans="15:21" ht="12.75">
      <c r="O629" s="607"/>
      <c r="P629" s="607"/>
      <c r="Q629" s="607"/>
      <c r="R629" s="607"/>
      <c r="S629" s="607"/>
      <c r="T629" s="607"/>
      <c r="U629" s="607"/>
    </row>
    <row r="630" spans="15:21" ht="12.75">
      <c r="O630" s="607"/>
      <c r="P630" s="607"/>
      <c r="Q630" s="607"/>
      <c r="R630" s="607"/>
      <c r="S630" s="607"/>
      <c r="T630" s="607"/>
      <c r="U630" s="607"/>
    </row>
    <row r="631" spans="15:21" ht="12.75">
      <c r="O631" s="607"/>
      <c r="P631" s="607"/>
      <c r="Q631" s="607"/>
      <c r="R631" s="607"/>
      <c r="S631" s="607"/>
      <c r="T631" s="607"/>
      <c r="U631" s="607"/>
    </row>
    <row r="632" spans="15:21" ht="12.75">
      <c r="O632" s="607"/>
      <c r="P632" s="607"/>
      <c r="Q632" s="607"/>
      <c r="R632" s="607"/>
      <c r="S632" s="607"/>
      <c r="T632" s="607"/>
      <c r="U632" s="607"/>
    </row>
    <row r="633" spans="15:21" ht="12.75">
      <c r="O633" s="607"/>
      <c r="P633" s="607"/>
      <c r="Q633" s="607"/>
      <c r="R633" s="607"/>
      <c r="S633" s="607"/>
      <c r="T633" s="607"/>
      <c r="U633" s="607"/>
    </row>
    <row r="634" spans="15:21" ht="12.75">
      <c r="O634" s="607"/>
      <c r="P634" s="607"/>
      <c r="Q634" s="607"/>
      <c r="R634" s="607"/>
      <c r="S634" s="607"/>
      <c r="T634" s="607"/>
      <c r="U634" s="607"/>
    </row>
    <row r="635" spans="15:21" ht="12.75">
      <c r="O635" s="607"/>
      <c r="P635" s="607"/>
      <c r="Q635" s="607"/>
      <c r="R635" s="607"/>
      <c r="S635" s="607"/>
      <c r="T635" s="607"/>
      <c r="U635" s="607"/>
    </row>
    <row r="636" spans="15:21" ht="12.75">
      <c r="O636" s="607"/>
      <c r="P636" s="607"/>
      <c r="Q636" s="607"/>
      <c r="R636" s="607"/>
      <c r="S636" s="607"/>
      <c r="T636" s="607"/>
      <c r="U636" s="607"/>
    </row>
    <row r="637" spans="15:21" ht="12.75">
      <c r="O637" s="607"/>
      <c r="P637" s="607"/>
      <c r="Q637" s="607"/>
      <c r="R637" s="607"/>
      <c r="S637" s="607"/>
      <c r="T637" s="607"/>
      <c r="U637" s="607"/>
    </row>
    <row r="638" spans="15:21" ht="12.75">
      <c r="O638" s="607"/>
      <c r="P638" s="607"/>
      <c r="Q638" s="607"/>
      <c r="R638" s="607"/>
      <c r="S638" s="607"/>
      <c r="T638" s="607"/>
      <c r="U638" s="607"/>
    </row>
    <row r="639" spans="15:21" ht="12.75">
      <c r="O639" s="607"/>
      <c r="P639" s="607"/>
      <c r="Q639" s="607"/>
      <c r="R639" s="607"/>
      <c r="S639" s="607"/>
      <c r="T639" s="607"/>
      <c r="U639" s="607"/>
    </row>
    <row r="640" spans="15:21" ht="12.75">
      <c r="O640" s="607"/>
      <c r="P640" s="607"/>
      <c r="Q640" s="607"/>
      <c r="R640" s="607"/>
      <c r="S640" s="607"/>
      <c r="T640" s="607"/>
      <c r="U640" s="607"/>
    </row>
    <row r="641" spans="15:21" ht="12.75">
      <c r="O641" s="607"/>
      <c r="P641" s="607"/>
      <c r="Q641" s="607"/>
      <c r="R641" s="607"/>
      <c r="S641" s="607"/>
      <c r="T641" s="607"/>
      <c r="U641" s="607"/>
    </row>
    <row r="642" spans="15:21" ht="12.75">
      <c r="O642" s="607"/>
      <c r="P642" s="607"/>
      <c r="Q642" s="607"/>
      <c r="R642" s="607"/>
      <c r="S642" s="607"/>
      <c r="T642" s="607"/>
      <c r="U642" s="607"/>
    </row>
    <row r="643" spans="15:21" ht="12.75">
      <c r="O643" s="607"/>
      <c r="P643" s="607"/>
      <c r="Q643" s="607"/>
      <c r="R643" s="607"/>
      <c r="S643" s="607"/>
      <c r="T643" s="607"/>
      <c r="U643" s="607"/>
    </row>
    <row r="644" spans="15:21" ht="12.75">
      <c r="O644" s="607"/>
      <c r="P644" s="607"/>
      <c r="Q644" s="607"/>
      <c r="R644" s="607"/>
      <c r="S644" s="607"/>
      <c r="T644" s="607"/>
      <c r="U644" s="607"/>
    </row>
    <row r="645" spans="15:21" ht="12.75">
      <c r="O645" s="607"/>
      <c r="P645" s="607"/>
      <c r="Q645" s="607"/>
      <c r="R645" s="607"/>
      <c r="S645" s="607"/>
      <c r="T645" s="607"/>
      <c r="U645" s="607"/>
    </row>
    <row r="646" spans="15:21" ht="12.75">
      <c r="O646" s="607"/>
      <c r="P646" s="607"/>
      <c r="Q646" s="607"/>
      <c r="R646" s="607"/>
      <c r="S646" s="607"/>
      <c r="T646" s="607"/>
      <c r="U646" s="607"/>
    </row>
    <row r="647" spans="15:21" ht="12.75">
      <c r="O647" s="607"/>
      <c r="P647" s="607"/>
      <c r="Q647" s="607"/>
      <c r="R647" s="607"/>
      <c r="S647" s="607"/>
      <c r="T647" s="607"/>
      <c r="U647" s="607"/>
    </row>
    <row r="648" spans="15:21" ht="12.75">
      <c r="O648" s="607"/>
      <c r="P648" s="607"/>
      <c r="Q648" s="607"/>
      <c r="R648" s="607"/>
      <c r="S648" s="607"/>
      <c r="T648" s="607"/>
      <c r="U648" s="607"/>
    </row>
    <row r="649" spans="15:21" ht="12.75">
      <c r="O649" s="607"/>
      <c r="P649" s="607"/>
      <c r="Q649" s="607"/>
      <c r="R649" s="607"/>
      <c r="S649" s="607"/>
      <c r="T649" s="607"/>
      <c r="U649" s="607"/>
    </row>
    <row r="650" spans="15:21" ht="12.75">
      <c r="O650" s="607"/>
      <c r="P650" s="607"/>
      <c r="Q650" s="607"/>
      <c r="R650" s="607"/>
      <c r="S650" s="607"/>
      <c r="T650" s="607"/>
      <c r="U650" s="607"/>
    </row>
    <row r="651" spans="15:21" ht="12.75">
      <c r="O651" s="607"/>
      <c r="P651" s="607"/>
      <c r="Q651" s="607"/>
      <c r="R651" s="607"/>
      <c r="S651" s="607"/>
      <c r="T651" s="607"/>
      <c r="U651" s="607"/>
    </row>
    <row r="652" spans="15:21" ht="12.75">
      <c r="O652" s="607"/>
      <c r="P652" s="607"/>
      <c r="Q652" s="607"/>
      <c r="R652" s="607"/>
      <c r="S652" s="607"/>
      <c r="T652" s="607"/>
      <c r="U652" s="607"/>
    </row>
    <row r="653" spans="15:21" ht="12.75">
      <c r="O653" s="607"/>
      <c r="P653" s="607"/>
      <c r="Q653" s="607"/>
      <c r="R653" s="607"/>
      <c r="S653" s="607"/>
      <c r="T653" s="607"/>
      <c r="U653" s="607"/>
    </row>
    <row r="654" spans="15:21" ht="12.75">
      <c r="O654" s="607"/>
      <c r="P654" s="607"/>
      <c r="Q654" s="607"/>
      <c r="R654" s="607"/>
      <c r="S654" s="607"/>
      <c r="T654" s="607"/>
      <c r="U654" s="607"/>
    </row>
    <row r="655" spans="15:21" ht="12.75">
      <c r="O655" s="607"/>
      <c r="P655" s="607"/>
      <c r="Q655" s="607"/>
      <c r="R655" s="607"/>
      <c r="S655" s="607"/>
      <c r="T655" s="607"/>
      <c r="U655" s="607"/>
    </row>
    <row r="656" spans="15:21" ht="12.75">
      <c r="O656" s="607"/>
      <c r="P656" s="607"/>
      <c r="Q656" s="607"/>
      <c r="R656" s="607"/>
      <c r="S656" s="607"/>
      <c r="T656" s="607"/>
      <c r="U656" s="607"/>
    </row>
    <row r="657" spans="15:21" ht="12.75">
      <c r="O657" s="607"/>
      <c r="P657" s="607"/>
      <c r="Q657" s="607"/>
      <c r="R657" s="607"/>
      <c r="S657" s="607"/>
      <c r="T657" s="607"/>
      <c r="U657" s="607"/>
    </row>
    <row r="658" spans="15:21" ht="12.75">
      <c r="O658" s="607"/>
      <c r="P658" s="607"/>
      <c r="Q658" s="607"/>
      <c r="R658" s="607"/>
      <c r="S658" s="607"/>
      <c r="T658" s="607"/>
      <c r="U658" s="607"/>
    </row>
    <row r="659" spans="15:21" ht="12.75">
      <c r="O659" s="607"/>
      <c r="P659" s="607"/>
      <c r="Q659" s="607"/>
      <c r="R659" s="607"/>
      <c r="S659" s="607"/>
      <c r="T659" s="607"/>
      <c r="U659" s="607"/>
    </row>
    <row r="660" spans="15:21" ht="12.75">
      <c r="O660" s="607"/>
      <c r="P660" s="607"/>
      <c r="Q660" s="607"/>
      <c r="R660" s="607"/>
      <c r="S660" s="607"/>
      <c r="T660" s="607"/>
      <c r="U660" s="607"/>
    </row>
    <row r="661" spans="15:21" ht="12.75">
      <c r="O661" s="607"/>
      <c r="P661" s="607"/>
      <c r="Q661" s="607"/>
      <c r="R661" s="607"/>
      <c r="S661" s="607"/>
      <c r="T661" s="607"/>
      <c r="U661" s="607"/>
    </row>
    <row r="662" spans="15:21" ht="12.75">
      <c r="O662" s="607"/>
      <c r="P662" s="607"/>
      <c r="Q662" s="607"/>
      <c r="R662" s="607"/>
      <c r="S662" s="607"/>
      <c r="T662" s="607"/>
      <c r="U662" s="607"/>
    </row>
    <row r="663" spans="15:21" ht="12.75">
      <c r="O663" s="607"/>
      <c r="P663" s="607"/>
      <c r="Q663" s="607"/>
      <c r="R663" s="607"/>
      <c r="S663" s="607"/>
      <c r="T663" s="607"/>
      <c r="U663" s="607"/>
    </row>
    <row r="664" spans="15:21" ht="12.75">
      <c r="O664" s="607"/>
      <c r="P664" s="607"/>
      <c r="Q664" s="607"/>
      <c r="R664" s="607"/>
      <c r="S664" s="607"/>
      <c r="T664" s="607"/>
      <c r="U664" s="607"/>
    </row>
    <row r="665" spans="15:21" ht="12.75">
      <c r="O665" s="607"/>
      <c r="P665" s="607"/>
      <c r="Q665" s="607"/>
      <c r="R665" s="607"/>
      <c r="S665" s="607"/>
      <c r="T665" s="607"/>
      <c r="U665" s="607"/>
    </row>
    <row r="666" spans="15:21" ht="12.75">
      <c r="O666" s="607"/>
      <c r="P666" s="607"/>
      <c r="Q666" s="607"/>
      <c r="R666" s="607"/>
      <c r="S666" s="607"/>
      <c r="T666" s="607"/>
      <c r="U666" s="607"/>
    </row>
    <row r="667" spans="15:21" ht="12.75">
      <c r="O667" s="607"/>
      <c r="P667" s="607"/>
      <c r="Q667" s="607"/>
      <c r="R667" s="607"/>
      <c r="S667" s="607"/>
      <c r="T667" s="607"/>
      <c r="U667" s="607"/>
    </row>
    <row r="668" spans="15:21" ht="12.75">
      <c r="O668" s="607"/>
      <c r="P668" s="607"/>
      <c r="Q668" s="607"/>
      <c r="R668" s="607"/>
      <c r="S668" s="607"/>
      <c r="T668" s="607"/>
      <c r="U668" s="607"/>
    </row>
    <row r="669" spans="15:21" ht="12.75">
      <c r="O669" s="607"/>
      <c r="P669" s="607"/>
      <c r="Q669" s="607"/>
      <c r="R669" s="607"/>
      <c r="S669" s="607"/>
      <c r="T669" s="607"/>
      <c r="U669" s="607"/>
    </row>
    <row r="670" spans="15:21" ht="12.75">
      <c r="O670" s="607"/>
      <c r="P670" s="607"/>
      <c r="Q670" s="607"/>
      <c r="R670" s="607"/>
      <c r="S670" s="607"/>
      <c r="T670" s="607"/>
      <c r="U670" s="607"/>
    </row>
    <row r="671" spans="15:21" ht="12.75">
      <c r="O671" s="607"/>
      <c r="P671" s="607"/>
      <c r="Q671" s="607"/>
      <c r="R671" s="607"/>
      <c r="S671" s="607"/>
      <c r="T671" s="607"/>
      <c r="U671" s="607"/>
    </row>
    <row r="672" spans="15:21" ht="12.75">
      <c r="O672" s="607"/>
      <c r="P672" s="607"/>
      <c r="Q672" s="607"/>
      <c r="R672" s="607"/>
      <c r="S672" s="607"/>
      <c r="T672" s="607"/>
      <c r="U672" s="607"/>
    </row>
    <row r="673" spans="15:21" ht="12.75">
      <c r="O673" s="607"/>
      <c r="P673" s="607"/>
      <c r="Q673" s="607"/>
      <c r="R673" s="607"/>
      <c r="S673" s="607"/>
      <c r="T673" s="607"/>
      <c r="U673" s="607"/>
    </row>
    <row r="674" spans="15:21" ht="12.75">
      <c r="O674" s="607"/>
      <c r="P674" s="607"/>
      <c r="Q674" s="607"/>
      <c r="R674" s="607"/>
      <c r="S674" s="607"/>
      <c r="T674" s="607"/>
      <c r="U674" s="607"/>
    </row>
    <row r="675" spans="15:21" ht="12.75">
      <c r="O675" s="607"/>
      <c r="P675" s="607"/>
      <c r="Q675" s="607"/>
      <c r="R675" s="607"/>
      <c r="S675" s="607"/>
      <c r="T675" s="607"/>
      <c r="U675" s="607"/>
    </row>
    <row r="676" spans="15:21" ht="12.75">
      <c r="O676" s="607"/>
      <c r="P676" s="607"/>
      <c r="Q676" s="607"/>
      <c r="R676" s="607"/>
      <c r="S676" s="607"/>
      <c r="T676" s="607"/>
      <c r="U676" s="607"/>
    </row>
    <row r="677" spans="15:21" ht="12.75">
      <c r="O677" s="607"/>
      <c r="P677" s="607"/>
      <c r="Q677" s="607"/>
      <c r="R677" s="607"/>
      <c r="S677" s="607"/>
      <c r="T677" s="607"/>
      <c r="U677" s="607"/>
    </row>
    <row r="678" spans="15:21" ht="12.75">
      <c r="O678" s="607"/>
      <c r="P678" s="607"/>
      <c r="Q678" s="607"/>
      <c r="R678" s="607"/>
      <c r="S678" s="607"/>
      <c r="T678" s="607"/>
      <c r="U678" s="607"/>
    </row>
    <row r="679" spans="15:21" ht="12.75">
      <c r="O679" s="607"/>
      <c r="P679" s="607"/>
      <c r="Q679" s="607"/>
      <c r="R679" s="607"/>
      <c r="S679" s="607"/>
      <c r="T679" s="607"/>
      <c r="U679" s="607"/>
    </row>
    <row r="680" spans="15:21" ht="12.75">
      <c r="O680" s="607"/>
      <c r="P680" s="607"/>
      <c r="Q680" s="607"/>
      <c r="R680" s="607"/>
      <c r="S680" s="607"/>
      <c r="T680" s="607"/>
      <c r="U680" s="607"/>
    </row>
    <row r="681" spans="15:21" ht="12.75">
      <c r="O681" s="607"/>
      <c r="P681" s="607"/>
      <c r="Q681" s="607"/>
      <c r="R681" s="607"/>
      <c r="S681" s="607"/>
      <c r="T681" s="607"/>
      <c r="U681" s="607"/>
    </row>
    <row r="682" spans="15:21" ht="12.75">
      <c r="O682" s="607"/>
      <c r="P682" s="607"/>
      <c r="Q682" s="607"/>
      <c r="R682" s="607"/>
      <c r="S682" s="607"/>
      <c r="T682" s="607"/>
      <c r="U682" s="607"/>
    </row>
    <row r="683" spans="15:21" ht="12.75">
      <c r="O683" s="607"/>
      <c r="P683" s="607"/>
      <c r="Q683" s="607"/>
      <c r="R683" s="607"/>
      <c r="S683" s="607"/>
      <c r="T683" s="607"/>
      <c r="U683" s="607"/>
    </row>
    <row r="684" spans="15:21" ht="12.75">
      <c r="O684" s="607"/>
      <c r="P684" s="607"/>
      <c r="Q684" s="607"/>
      <c r="R684" s="607"/>
      <c r="S684" s="607"/>
      <c r="T684" s="607"/>
      <c r="U684" s="607"/>
    </row>
    <row r="685" spans="15:21" ht="12.75">
      <c r="O685" s="607"/>
      <c r="P685" s="607"/>
      <c r="Q685" s="607"/>
      <c r="R685" s="607"/>
      <c r="S685" s="607"/>
      <c r="T685" s="607"/>
      <c r="U685" s="607"/>
    </row>
    <row r="686" spans="15:21" ht="12.75">
      <c r="O686" s="607"/>
      <c r="P686" s="607"/>
      <c r="Q686" s="607"/>
      <c r="R686" s="607"/>
      <c r="S686" s="607"/>
      <c r="T686" s="607"/>
      <c r="U686" s="607"/>
    </row>
    <row r="687" spans="15:21" ht="12.75">
      <c r="O687" s="607"/>
      <c r="P687" s="607"/>
      <c r="Q687" s="607"/>
      <c r="R687" s="607"/>
      <c r="S687" s="607"/>
      <c r="T687" s="607"/>
      <c r="U687" s="607"/>
    </row>
    <row r="688" spans="15:21" ht="12.75">
      <c r="O688" s="607"/>
      <c r="P688" s="607"/>
      <c r="Q688" s="607"/>
      <c r="R688" s="607"/>
      <c r="S688" s="607"/>
      <c r="T688" s="607"/>
      <c r="U688" s="607"/>
    </row>
    <row r="689" spans="15:21" ht="12.75">
      <c r="O689" s="607"/>
      <c r="P689" s="607"/>
      <c r="Q689" s="607"/>
      <c r="R689" s="607"/>
      <c r="S689" s="607"/>
      <c r="T689" s="607"/>
      <c r="U689" s="607"/>
    </row>
    <row r="690" spans="15:21" ht="12.75">
      <c r="O690" s="607"/>
      <c r="P690" s="607"/>
      <c r="Q690" s="607"/>
      <c r="R690" s="607"/>
      <c r="S690" s="607"/>
      <c r="T690" s="607"/>
      <c r="U690" s="607"/>
    </row>
    <row r="691" spans="15:21" ht="12.75">
      <c r="O691" s="607"/>
      <c r="P691" s="607"/>
      <c r="Q691" s="607"/>
      <c r="R691" s="607"/>
      <c r="S691" s="607"/>
      <c r="T691" s="607"/>
      <c r="U691" s="607"/>
    </row>
    <row r="692" spans="15:21" ht="12.75">
      <c r="O692" s="607"/>
      <c r="P692" s="607"/>
      <c r="Q692" s="607"/>
      <c r="R692" s="607"/>
      <c r="S692" s="607"/>
      <c r="T692" s="607"/>
      <c r="U692" s="607"/>
    </row>
    <row r="693" spans="15:21" ht="12.75">
      <c r="O693" s="607"/>
      <c r="P693" s="607"/>
      <c r="Q693" s="607"/>
      <c r="R693" s="607"/>
      <c r="S693" s="607"/>
      <c r="T693" s="607"/>
      <c r="U693" s="607"/>
    </row>
    <row r="694" spans="15:21" ht="12.75">
      <c r="O694" s="607"/>
      <c r="P694" s="607"/>
      <c r="Q694" s="607"/>
      <c r="R694" s="607"/>
      <c r="S694" s="607"/>
      <c r="T694" s="607"/>
      <c r="U694" s="607"/>
    </row>
    <row r="695" spans="15:21" ht="12.75">
      <c r="O695" s="607"/>
      <c r="P695" s="607"/>
      <c r="Q695" s="607"/>
      <c r="R695" s="607"/>
      <c r="S695" s="607"/>
      <c r="T695" s="607"/>
      <c r="U695" s="607"/>
    </row>
    <row r="696" spans="15:21" ht="12.75">
      <c r="O696" s="607"/>
      <c r="P696" s="607"/>
      <c r="Q696" s="607"/>
      <c r="R696" s="607"/>
      <c r="S696" s="607"/>
      <c r="T696" s="607"/>
      <c r="U696" s="607"/>
    </row>
    <row r="697" spans="15:21" ht="12.75">
      <c r="O697" s="607"/>
      <c r="P697" s="607"/>
      <c r="Q697" s="607"/>
      <c r="R697" s="607"/>
      <c r="S697" s="607"/>
      <c r="T697" s="607"/>
      <c r="U697" s="607"/>
    </row>
    <row r="698" spans="15:21" ht="12.75">
      <c r="O698" s="607"/>
      <c r="P698" s="607"/>
      <c r="Q698" s="607"/>
      <c r="R698" s="607"/>
      <c r="S698" s="607"/>
      <c r="T698" s="607"/>
      <c r="U698" s="607"/>
    </row>
    <row r="699" spans="15:21" ht="12.75">
      <c r="O699" s="607"/>
      <c r="P699" s="607"/>
      <c r="Q699" s="607"/>
      <c r="R699" s="607"/>
      <c r="S699" s="607"/>
      <c r="T699" s="607"/>
      <c r="U699" s="607"/>
    </row>
    <row r="700" spans="15:21" ht="12.75">
      <c r="O700" s="607"/>
      <c r="P700" s="607"/>
      <c r="Q700" s="607"/>
      <c r="R700" s="607"/>
      <c r="S700" s="607"/>
      <c r="T700" s="607"/>
      <c r="U700" s="607"/>
    </row>
    <row r="701" spans="15:21" ht="12.75">
      <c r="O701" s="607"/>
      <c r="P701" s="607"/>
      <c r="Q701" s="607"/>
      <c r="R701" s="607"/>
      <c r="S701" s="607"/>
      <c r="T701" s="607"/>
      <c r="U701" s="607"/>
    </row>
    <row r="702" spans="15:21" ht="12.75">
      <c r="O702" s="607"/>
      <c r="P702" s="607"/>
      <c r="Q702" s="607"/>
      <c r="R702" s="607"/>
      <c r="S702" s="607"/>
      <c r="T702" s="607"/>
      <c r="U702" s="607"/>
    </row>
    <row r="703" spans="15:21" ht="12.75">
      <c r="O703" s="607"/>
      <c r="P703" s="607"/>
      <c r="Q703" s="607"/>
      <c r="R703" s="607"/>
      <c r="S703" s="607"/>
      <c r="T703" s="607"/>
      <c r="U703" s="607"/>
    </row>
    <row r="704" spans="15:21" ht="12.75">
      <c r="O704" s="607"/>
      <c r="P704" s="607"/>
      <c r="Q704" s="607"/>
      <c r="R704" s="607"/>
      <c r="S704" s="607"/>
      <c r="T704" s="607"/>
      <c r="U704" s="607"/>
    </row>
    <row r="705" spans="15:21" ht="12.75">
      <c r="O705" s="607"/>
      <c r="P705" s="607"/>
      <c r="Q705" s="607"/>
      <c r="R705" s="607"/>
      <c r="S705" s="607"/>
      <c r="T705" s="607"/>
      <c r="U705" s="607"/>
    </row>
    <row r="706" spans="15:21" ht="12.75">
      <c r="O706" s="607"/>
      <c r="P706" s="607"/>
      <c r="Q706" s="607"/>
      <c r="R706" s="607"/>
      <c r="S706" s="607"/>
      <c r="T706" s="607"/>
      <c r="U706" s="607"/>
    </row>
    <row r="707" spans="15:21" ht="12.75">
      <c r="O707" s="607"/>
      <c r="P707" s="607"/>
      <c r="Q707" s="607"/>
      <c r="R707" s="607"/>
      <c r="S707" s="607"/>
      <c r="T707" s="607"/>
      <c r="U707" s="607"/>
    </row>
    <row r="708" spans="15:21" ht="12.75">
      <c r="O708" s="607"/>
      <c r="P708" s="607"/>
      <c r="Q708" s="607"/>
      <c r="R708" s="607"/>
      <c r="S708" s="607"/>
      <c r="T708" s="607"/>
      <c r="U708" s="607"/>
    </row>
    <row r="709" spans="15:21" ht="12.75">
      <c r="O709" s="607"/>
      <c r="P709" s="607"/>
      <c r="Q709" s="607"/>
      <c r="R709" s="607"/>
      <c r="S709" s="607"/>
      <c r="T709" s="607"/>
      <c r="U709" s="607"/>
    </row>
    <row r="710" spans="15:21" ht="12.75">
      <c r="O710" s="607"/>
      <c r="P710" s="607"/>
      <c r="Q710" s="607"/>
      <c r="R710" s="607"/>
      <c r="S710" s="607"/>
      <c r="T710" s="607"/>
      <c r="U710" s="607"/>
    </row>
    <row r="711" spans="15:21" ht="12.75">
      <c r="O711" s="607"/>
      <c r="P711" s="607"/>
      <c r="Q711" s="607"/>
      <c r="R711" s="607"/>
      <c r="S711" s="607"/>
      <c r="T711" s="607"/>
      <c r="U711" s="607"/>
    </row>
    <row r="712" spans="15:21" ht="12.75">
      <c r="O712" s="607"/>
      <c r="P712" s="607"/>
      <c r="Q712" s="607"/>
      <c r="R712" s="607"/>
      <c r="S712" s="607"/>
      <c r="T712" s="607"/>
      <c r="U712" s="607"/>
    </row>
    <row r="713" spans="15:21" ht="12.75">
      <c r="O713" s="607"/>
      <c r="P713" s="607"/>
      <c r="Q713" s="607"/>
      <c r="R713" s="607"/>
      <c r="S713" s="607"/>
      <c r="T713" s="607"/>
      <c r="U713" s="607"/>
    </row>
    <row r="714" spans="15:21" ht="12.75">
      <c r="O714" s="607"/>
      <c r="P714" s="607"/>
      <c r="Q714" s="607"/>
      <c r="R714" s="607"/>
      <c r="S714" s="607"/>
      <c r="T714" s="607"/>
      <c r="U714" s="607"/>
    </row>
    <row r="715" spans="15:21" ht="12.75">
      <c r="O715" s="607"/>
      <c r="P715" s="607"/>
      <c r="Q715" s="607"/>
      <c r="R715" s="607"/>
      <c r="S715" s="607"/>
      <c r="T715" s="607"/>
      <c r="U715" s="607"/>
    </row>
    <row r="716" spans="15:21" ht="12.75">
      <c r="O716" s="607"/>
      <c r="P716" s="607"/>
      <c r="Q716" s="607"/>
      <c r="R716" s="607"/>
      <c r="S716" s="607"/>
      <c r="T716" s="607"/>
      <c r="U716" s="607"/>
    </row>
    <row r="717" spans="15:21" ht="12.75">
      <c r="O717" s="607"/>
      <c r="P717" s="607"/>
      <c r="Q717" s="607"/>
      <c r="R717" s="607"/>
      <c r="S717" s="607"/>
      <c r="T717" s="607"/>
      <c r="U717" s="607"/>
    </row>
    <row r="718" spans="15:21" ht="12.75">
      <c r="O718" s="607"/>
      <c r="P718" s="607"/>
      <c r="Q718" s="607"/>
      <c r="R718" s="607"/>
      <c r="S718" s="607"/>
      <c r="T718" s="607"/>
      <c r="U718" s="607"/>
    </row>
    <row r="719" spans="15:21" ht="12.75">
      <c r="O719" s="607"/>
      <c r="P719" s="607"/>
      <c r="Q719" s="607"/>
      <c r="R719" s="607"/>
      <c r="S719" s="607"/>
      <c r="T719" s="607"/>
      <c r="U719" s="607"/>
    </row>
    <row r="720" spans="15:21" ht="12.75">
      <c r="O720" s="607"/>
      <c r="P720" s="607"/>
      <c r="Q720" s="607"/>
      <c r="R720" s="607"/>
      <c r="S720" s="607"/>
      <c r="T720" s="607"/>
      <c r="U720" s="607"/>
    </row>
    <row r="721" spans="15:21" ht="12.75">
      <c r="O721" s="607"/>
      <c r="P721" s="607"/>
      <c r="Q721" s="607"/>
      <c r="R721" s="607"/>
      <c r="S721" s="607"/>
      <c r="T721" s="607"/>
      <c r="U721" s="607"/>
    </row>
    <row r="722" spans="15:21" ht="12.75">
      <c r="O722" s="607"/>
      <c r="P722" s="607"/>
      <c r="Q722" s="607"/>
      <c r="R722" s="607"/>
      <c r="S722" s="607"/>
      <c r="T722" s="607"/>
      <c r="U722" s="607"/>
    </row>
    <row r="723" spans="15:21" ht="12.75">
      <c r="O723" s="607"/>
      <c r="P723" s="607"/>
      <c r="Q723" s="607"/>
      <c r="R723" s="607"/>
      <c r="S723" s="607"/>
      <c r="T723" s="607"/>
      <c r="U723" s="607"/>
    </row>
    <row r="724" spans="15:21" ht="12.75">
      <c r="O724" s="607"/>
      <c r="P724" s="607"/>
      <c r="Q724" s="607"/>
      <c r="R724" s="607"/>
      <c r="S724" s="607"/>
      <c r="T724" s="607"/>
      <c r="U724" s="607"/>
    </row>
    <row r="725" spans="15:21" ht="12.75">
      <c r="O725" s="607"/>
      <c r="P725" s="607"/>
      <c r="Q725" s="607"/>
      <c r="R725" s="607"/>
      <c r="S725" s="607"/>
      <c r="T725" s="607"/>
      <c r="U725" s="607"/>
    </row>
    <row r="726" spans="15:21" ht="12.75">
      <c r="O726" s="607"/>
      <c r="P726" s="607"/>
      <c r="Q726" s="607"/>
      <c r="R726" s="607"/>
      <c r="S726" s="607"/>
      <c r="T726" s="607"/>
      <c r="U726" s="607"/>
    </row>
    <row r="727" spans="15:21" ht="12.75">
      <c r="O727" s="607"/>
      <c r="P727" s="607"/>
      <c r="Q727" s="607"/>
      <c r="R727" s="607"/>
      <c r="S727" s="607"/>
      <c r="T727" s="607"/>
      <c r="U727" s="607"/>
    </row>
    <row r="728" spans="15:21" ht="12.75">
      <c r="O728" s="607"/>
      <c r="P728" s="607"/>
      <c r="Q728" s="607"/>
      <c r="R728" s="607"/>
      <c r="S728" s="607"/>
      <c r="T728" s="607"/>
      <c r="U728" s="607"/>
    </row>
    <row r="729" spans="15:21" ht="12.75">
      <c r="O729" s="607"/>
      <c r="P729" s="607"/>
      <c r="Q729" s="607"/>
      <c r="R729" s="607"/>
      <c r="S729" s="607"/>
      <c r="T729" s="607"/>
      <c r="U729" s="607"/>
    </row>
    <row r="730" spans="15:21" ht="12.75">
      <c r="O730" s="607"/>
      <c r="P730" s="607"/>
      <c r="Q730" s="607"/>
      <c r="R730" s="607"/>
      <c r="S730" s="607"/>
      <c r="T730" s="607"/>
      <c r="U730" s="607"/>
    </row>
    <row r="731" spans="15:21" ht="12.75">
      <c r="O731" s="607"/>
      <c r="P731" s="607"/>
      <c r="Q731" s="607"/>
      <c r="R731" s="607"/>
      <c r="S731" s="607"/>
      <c r="T731" s="607"/>
      <c r="U731" s="607"/>
    </row>
    <row r="732" spans="15:21" ht="12.75">
      <c r="O732" s="607"/>
      <c r="P732" s="607"/>
      <c r="Q732" s="607"/>
      <c r="R732" s="607"/>
      <c r="S732" s="607"/>
      <c r="T732" s="607"/>
      <c r="U732" s="607"/>
    </row>
    <row r="733" spans="15:21" ht="12.75">
      <c r="O733" s="607"/>
      <c r="P733" s="607"/>
      <c r="Q733" s="607"/>
      <c r="R733" s="607"/>
      <c r="S733" s="607"/>
      <c r="T733" s="607"/>
      <c r="U733" s="607"/>
    </row>
    <row r="734" spans="15:21" ht="12.75">
      <c r="O734" s="607"/>
      <c r="P734" s="607"/>
      <c r="Q734" s="607"/>
      <c r="R734" s="607"/>
      <c r="S734" s="607"/>
      <c r="T734" s="607"/>
      <c r="U734" s="607"/>
    </row>
    <row r="735" spans="15:21" ht="12.75">
      <c r="O735" s="607"/>
      <c r="P735" s="607"/>
      <c r="Q735" s="607"/>
      <c r="R735" s="607"/>
      <c r="S735" s="607"/>
      <c r="T735" s="607"/>
      <c r="U735" s="607"/>
    </row>
    <row r="736" spans="15:21" ht="12.75">
      <c r="O736" s="607"/>
      <c r="P736" s="607"/>
      <c r="Q736" s="607"/>
      <c r="R736" s="607"/>
      <c r="S736" s="607"/>
      <c r="T736" s="607"/>
      <c r="U736" s="607"/>
    </row>
    <row r="737" spans="15:21" ht="12.75">
      <c r="O737" s="607"/>
      <c r="P737" s="607"/>
      <c r="Q737" s="607"/>
      <c r="R737" s="607"/>
      <c r="S737" s="607"/>
      <c r="T737" s="607"/>
      <c r="U737" s="607"/>
    </row>
    <row r="738" spans="15:21" ht="12.75">
      <c r="O738" s="607"/>
      <c r="P738" s="607"/>
      <c r="Q738" s="607"/>
      <c r="R738" s="607"/>
      <c r="S738" s="607"/>
      <c r="T738" s="607"/>
      <c r="U738" s="607"/>
    </row>
    <row r="739" spans="15:21" ht="12.75">
      <c r="O739" s="607"/>
      <c r="P739" s="607"/>
      <c r="Q739" s="607"/>
      <c r="R739" s="607"/>
      <c r="S739" s="607"/>
      <c r="T739" s="607"/>
      <c r="U739" s="607"/>
    </row>
    <row r="740" spans="15:21" ht="12.75">
      <c r="O740" s="607"/>
      <c r="P740" s="607"/>
      <c r="Q740" s="607"/>
      <c r="R740" s="607"/>
      <c r="S740" s="607"/>
      <c r="T740" s="607"/>
      <c r="U740" s="607"/>
    </row>
    <row r="741" spans="15:21" ht="12.75">
      <c r="O741" s="607"/>
      <c r="P741" s="607"/>
      <c r="Q741" s="607"/>
      <c r="R741" s="607"/>
      <c r="S741" s="607"/>
      <c r="T741" s="607"/>
      <c r="U741" s="607"/>
    </row>
    <row r="742" spans="15:21" ht="12.75">
      <c r="O742" s="607"/>
      <c r="P742" s="607"/>
      <c r="Q742" s="607"/>
      <c r="R742" s="607"/>
      <c r="S742" s="607"/>
      <c r="T742" s="607"/>
      <c r="U742" s="607"/>
    </row>
    <row r="743" spans="15:21" ht="12.75">
      <c r="O743" s="607"/>
      <c r="P743" s="607"/>
      <c r="Q743" s="607"/>
      <c r="R743" s="607"/>
      <c r="S743" s="607"/>
      <c r="T743" s="607"/>
      <c r="U743" s="607"/>
    </row>
    <row r="744" spans="15:21" ht="12.75">
      <c r="O744" s="607"/>
      <c r="P744" s="607"/>
      <c r="Q744" s="607"/>
      <c r="R744" s="607"/>
      <c r="S744" s="607"/>
      <c r="T744" s="607"/>
      <c r="U744" s="607"/>
    </row>
    <row r="745" spans="15:21" ht="12.75">
      <c r="O745" s="607"/>
      <c r="P745" s="607"/>
      <c r="Q745" s="607"/>
      <c r="R745" s="607"/>
      <c r="S745" s="607"/>
      <c r="T745" s="607"/>
      <c r="U745" s="607"/>
    </row>
    <row r="746" spans="15:21" ht="12.75">
      <c r="O746" s="607"/>
      <c r="P746" s="607"/>
      <c r="Q746" s="607"/>
      <c r="R746" s="607"/>
      <c r="S746" s="607"/>
      <c r="T746" s="607"/>
      <c r="U746" s="607"/>
    </row>
    <row r="747" spans="15:21" ht="12.75">
      <c r="O747" s="607"/>
      <c r="P747" s="607"/>
      <c r="Q747" s="607"/>
      <c r="R747" s="607"/>
      <c r="S747" s="607"/>
      <c r="T747" s="607"/>
      <c r="U747" s="607"/>
    </row>
    <row r="748" spans="15:21" ht="12.75">
      <c r="O748" s="607"/>
      <c r="P748" s="607"/>
      <c r="Q748" s="607"/>
      <c r="R748" s="607"/>
      <c r="S748" s="607"/>
      <c r="T748" s="607"/>
      <c r="U748" s="607"/>
    </row>
    <row r="749" spans="15:21" ht="12.75">
      <c r="O749" s="607"/>
      <c r="P749" s="607"/>
      <c r="Q749" s="607"/>
      <c r="R749" s="607"/>
      <c r="S749" s="607"/>
      <c r="T749" s="607"/>
      <c r="U749" s="607"/>
    </row>
    <row r="750" spans="15:21" ht="12.75">
      <c r="O750" s="607"/>
      <c r="P750" s="607"/>
      <c r="Q750" s="607"/>
      <c r="R750" s="607"/>
      <c r="S750" s="607"/>
      <c r="T750" s="607"/>
      <c r="U750" s="607"/>
    </row>
    <row r="751" spans="15:21" ht="12.75">
      <c r="O751" s="607"/>
      <c r="P751" s="607"/>
      <c r="Q751" s="607"/>
      <c r="R751" s="607"/>
      <c r="S751" s="607"/>
      <c r="T751" s="607"/>
      <c r="U751" s="607"/>
    </row>
    <row r="752" spans="15:21" ht="12.75">
      <c r="O752" s="607"/>
      <c r="P752" s="607"/>
      <c r="Q752" s="607"/>
      <c r="R752" s="607"/>
      <c r="S752" s="607"/>
      <c r="T752" s="607"/>
      <c r="U752" s="607"/>
    </row>
    <row r="753" spans="15:21" ht="12.75">
      <c r="O753" s="607"/>
      <c r="P753" s="607"/>
      <c r="Q753" s="607"/>
      <c r="R753" s="607"/>
      <c r="S753" s="607"/>
      <c r="T753" s="607"/>
      <c r="U753" s="607"/>
    </row>
    <row r="754" spans="15:21" ht="12.75">
      <c r="O754" s="607"/>
      <c r="P754" s="607"/>
      <c r="Q754" s="607"/>
      <c r="R754" s="607"/>
      <c r="S754" s="607"/>
      <c r="T754" s="607"/>
      <c r="U754" s="607"/>
    </row>
    <row r="755" spans="15:21" ht="12.75">
      <c r="O755" s="607"/>
      <c r="P755" s="607"/>
      <c r="Q755" s="607"/>
      <c r="R755" s="607"/>
      <c r="S755" s="607"/>
      <c r="T755" s="607"/>
      <c r="U755" s="607"/>
    </row>
    <row r="756" spans="15:21" ht="12.75">
      <c r="O756" s="607"/>
      <c r="P756" s="607"/>
      <c r="Q756" s="607"/>
      <c r="R756" s="607"/>
      <c r="S756" s="607"/>
      <c r="T756" s="607"/>
      <c r="U756" s="607"/>
    </row>
    <row r="757" spans="15:21" ht="12.75">
      <c r="O757" s="607"/>
      <c r="P757" s="607"/>
      <c r="Q757" s="607"/>
      <c r="R757" s="607"/>
      <c r="S757" s="607"/>
      <c r="T757" s="607"/>
      <c r="U757" s="607"/>
    </row>
    <row r="758" spans="15:21" ht="12.75">
      <c r="O758" s="607"/>
      <c r="P758" s="607"/>
      <c r="Q758" s="607"/>
      <c r="R758" s="607"/>
      <c r="S758" s="607"/>
      <c r="T758" s="607"/>
      <c r="U758" s="607"/>
    </row>
    <row r="759" spans="15:21" ht="12.75">
      <c r="O759" s="607"/>
      <c r="P759" s="607"/>
      <c r="Q759" s="607"/>
      <c r="R759" s="607"/>
      <c r="S759" s="607"/>
      <c r="T759" s="607"/>
      <c r="U759" s="607"/>
    </row>
    <row r="760" spans="15:21" ht="12.75">
      <c r="O760" s="607"/>
      <c r="P760" s="607"/>
      <c r="Q760" s="607"/>
      <c r="R760" s="607"/>
      <c r="S760" s="607"/>
      <c r="T760" s="607"/>
      <c r="U760" s="607"/>
    </row>
    <row r="761" spans="15:21" ht="12.75">
      <c r="O761" s="607"/>
      <c r="P761" s="607"/>
      <c r="Q761" s="607"/>
      <c r="R761" s="607"/>
      <c r="S761" s="607"/>
      <c r="T761" s="607"/>
      <c r="U761" s="607"/>
    </row>
    <row r="762" spans="15:21" ht="12.75">
      <c r="O762" s="607"/>
      <c r="P762" s="607"/>
      <c r="Q762" s="607"/>
      <c r="R762" s="607"/>
      <c r="S762" s="607"/>
      <c r="T762" s="607"/>
      <c r="U762" s="607"/>
    </row>
    <row r="763" spans="15:21" ht="12.75">
      <c r="O763" s="607"/>
      <c r="P763" s="607"/>
      <c r="Q763" s="607"/>
      <c r="R763" s="607"/>
      <c r="S763" s="607"/>
      <c r="T763" s="607"/>
      <c r="U763" s="607"/>
    </row>
    <row r="764" spans="15:21" ht="12.75">
      <c r="O764" s="607"/>
      <c r="P764" s="607"/>
      <c r="Q764" s="607"/>
      <c r="R764" s="607"/>
      <c r="S764" s="607"/>
      <c r="T764" s="607"/>
      <c r="U764" s="607"/>
    </row>
    <row r="765" spans="15:21" ht="12.75">
      <c r="O765" s="607"/>
      <c r="P765" s="607"/>
      <c r="Q765" s="607"/>
      <c r="R765" s="607"/>
      <c r="S765" s="607"/>
      <c r="T765" s="607"/>
      <c r="U765" s="607"/>
    </row>
    <row r="766" spans="15:21" ht="12.75">
      <c r="O766" s="607"/>
      <c r="P766" s="607"/>
      <c r="Q766" s="607"/>
      <c r="R766" s="607"/>
      <c r="S766" s="607"/>
      <c r="T766" s="607"/>
      <c r="U766" s="607"/>
    </row>
    <row r="767" spans="15:21" ht="12.75">
      <c r="O767" s="607"/>
      <c r="P767" s="607"/>
      <c r="Q767" s="607"/>
      <c r="R767" s="607"/>
      <c r="S767" s="607"/>
      <c r="T767" s="607"/>
      <c r="U767" s="607"/>
    </row>
    <row r="768" spans="15:21" ht="12.75">
      <c r="O768" s="607"/>
      <c r="P768" s="607"/>
      <c r="Q768" s="607"/>
      <c r="R768" s="607"/>
      <c r="S768" s="607"/>
      <c r="T768" s="607"/>
      <c r="U768" s="607"/>
    </row>
    <row r="769" spans="15:21" ht="12.75">
      <c r="O769" s="607"/>
      <c r="P769" s="607"/>
      <c r="Q769" s="607"/>
      <c r="R769" s="607"/>
      <c r="S769" s="607"/>
      <c r="T769" s="607"/>
      <c r="U769" s="607"/>
    </row>
    <row r="770" spans="15:21" ht="12.75">
      <c r="O770" s="607"/>
      <c r="P770" s="607"/>
      <c r="Q770" s="607"/>
      <c r="R770" s="607"/>
      <c r="S770" s="607"/>
      <c r="T770" s="607"/>
      <c r="U770" s="607"/>
    </row>
    <row r="771" spans="15:21" ht="12.75">
      <c r="O771" s="607"/>
      <c r="P771" s="607"/>
      <c r="Q771" s="607"/>
      <c r="R771" s="607"/>
      <c r="S771" s="607"/>
      <c r="T771" s="607"/>
      <c r="U771" s="607"/>
    </row>
    <row r="772" spans="15:21" ht="12.75">
      <c r="O772" s="607"/>
      <c r="P772" s="607"/>
      <c r="Q772" s="607"/>
      <c r="R772" s="607"/>
      <c r="S772" s="607"/>
      <c r="T772" s="607"/>
      <c r="U772" s="607"/>
    </row>
    <row r="773" spans="15:21" ht="12.75">
      <c r="O773" s="607"/>
      <c r="P773" s="607"/>
      <c r="Q773" s="607"/>
      <c r="R773" s="607"/>
      <c r="S773" s="607"/>
      <c r="T773" s="607"/>
      <c r="U773" s="607"/>
    </row>
    <row r="774" spans="15:21" ht="12.75">
      <c r="O774" s="607"/>
      <c r="P774" s="607"/>
      <c r="Q774" s="607"/>
      <c r="R774" s="607"/>
      <c r="S774" s="607"/>
      <c r="T774" s="607"/>
      <c r="U774" s="607"/>
    </row>
    <row r="775" spans="15:21" ht="12.75">
      <c r="O775" s="607"/>
      <c r="P775" s="607"/>
      <c r="Q775" s="607"/>
      <c r="R775" s="607"/>
      <c r="S775" s="607"/>
      <c r="T775" s="607"/>
      <c r="U775" s="607"/>
    </row>
    <row r="776" spans="15:21" ht="12.75">
      <c r="O776" s="607"/>
      <c r="P776" s="607"/>
      <c r="Q776" s="607"/>
      <c r="R776" s="607"/>
      <c r="S776" s="607"/>
      <c r="T776" s="607"/>
      <c r="U776" s="607"/>
    </row>
    <row r="777" spans="15:21" ht="12.75">
      <c r="O777" s="607"/>
      <c r="P777" s="607"/>
      <c r="Q777" s="607"/>
      <c r="R777" s="607"/>
      <c r="S777" s="607"/>
      <c r="T777" s="607"/>
      <c r="U777" s="607"/>
    </row>
    <row r="778" spans="15:21" ht="12.75">
      <c r="O778" s="607"/>
      <c r="P778" s="607"/>
      <c r="Q778" s="607"/>
      <c r="R778" s="607"/>
      <c r="S778" s="607"/>
      <c r="T778" s="607"/>
      <c r="U778" s="607"/>
    </row>
    <row r="779" spans="15:21" ht="12.75">
      <c r="O779" s="607"/>
      <c r="P779" s="607"/>
      <c r="Q779" s="607"/>
      <c r="R779" s="607"/>
      <c r="S779" s="607"/>
      <c r="T779" s="607"/>
      <c r="U779" s="607"/>
    </row>
    <row r="780" spans="15:21" ht="12.75">
      <c r="O780" s="607"/>
      <c r="P780" s="607"/>
      <c r="Q780" s="607"/>
      <c r="R780" s="607"/>
      <c r="S780" s="607"/>
      <c r="T780" s="607"/>
      <c r="U780" s="607"/>
    </row>
    <row r="781" spans="15:21" ht="12.75">
      <c r="O781" s="607"/>
      <c r="P781" s="607"/>
      <c r="Q781" s="607"/>
      <c r="R781" s="607"/>
      <c r="S781" s="607"/>
      <c r="T781" s="607"/>
      <c r="U781" s="607"/>
    </row>
    <row r="782" spans="15:21" ht="12.75">
      <c r="O782" s="607"/>
      <c r="P782" s="607"/>
      <c r="Q782" s="607"/>
      <c r="R782" s="607"/>
      <c r="S782" s="607"/>
      <c r="T782" s="607"/>
      <c r="U782" s="607"/>
    </row>
    <row r="783" spans="15:21" ht="12.75">
      <c r="O783" s="607"/>
      <c r="P783" s="607"/>
      <c r="Q783" s="607"/>
      <c r="R783" s="607"/>
      <c r="S783" s="607"/>
      <c r="T783" s="607"/>
      <c r="U783" s="607"/>
    </row>
    <row r="784" spans="15:21" ht="12.75">
      <c r="O784" s="607"/>
      <c r="P784" s="607"/>
      <c r="Q784" s="607"/>
      <c r="R784" s="607"/>
      <c r="S784" s="607"/>
      <c r="T784" s="607"/>
      <c r="U784" s="607"/>
    </row>
    <row r="785" spans="15:21" ht="12.75">
      <c r="O785" s="607"/>
      <c r="P785" s="607"/>
      <c r="Q785" s="607"/>
      <c r="R785" s="607"/>
      <c r="S785" s="607"/>
      <c r="T785" s="607"/>
      <c r="U785" s="607"/>
    </row>
    <row r="786" spans="15:21" ht="12.75">
      <c r="O786" s="607"/>
      <c r="P786" s="607"/>
      <c r="Q786" s="607"/>
      <c r="R786" s="607"/>
      <c r="S786" s="607"/>
      <c r="T786" s="607"/>
      <c r="U786" s="607"/>
    </row>
    <row r="787" spans="15:21" ht="12.75">
      <c r="O787" s="607"/>
      <c r="P787" s="607"/>
      <c r="Q787" s="607"/>
      <c r="R787" s="607"/>
      <c r="S787" s="607"/>
      <c r="T787" s="607"/>
      <c r="U787" s="607"/>
    </row>
    <row r="788" spans="15:21" ht="12.75">
      <c r="O788" s="607"/>
      <c r="P788" s="607"/>
      <c r="Q788" s="607"/>
      <c r="R788" s="607"/>
      <c r="S788" s="607"/>
      <c r="T788" s="607"/>
      <c r="U788" s="607"/>
    </row>
    <row r="789" spans="15:21" ht="12.75">
      <c r="O789" s="607"/>
      <c r="P789" s="607"/>
      <c r="Q789" s="607"/>
      <c r="R789" s="607"/>
      <c r="S789" s="607"/>
      <c r="T789" s="607"/>
      <c r="U789" s="607"/>
    </row>
    <row r="790" spans="15:21" ht="12.75">
      <c r="O790" s="607"/>
      <c r="P790" s="607"/>
      <c r="Q790" s="607"/>
      <c r="R790" s="607"/>
      <c r="S790" s="607"/>
      <c r="T790" s="607"/>
      <c r="U790" s="607"/>
    </row>
    <row r="791" spans="15:21" ht="12.75">
      <c r="O791" s="607"/>
      <c r="P791" s="607"/>
      <c r="Q791" s="607"/>
      <c r="R791" s="607"/>
      <c r="S791" s="607"/>
      <c r="T791" s="607"/>
      <c r="U791" s="607"/>
    </row>
    <row r="792" spans="15:21" ht="12.75">
      <c r="O792" s="607"/>
      <c r="P792" s="607"/>
      <c r="Q792" s="607"/>
      <c r="R792" s="607"/>
      <c r="S792" s="607"/>
      <c r="T792" s="607"/>
      <c r="U792" s="607"/>
    </row>
    <row r="793" spans="15:21" ht="12.75">
      <c r="O793" s="607"/>
      <c r="P793" s="607"/>
      <c r="Q793" s="607"/>
      <c r="R793" s="607"/>
      <c r="S793" s="607"/>
      <c r="T793" s="607"/>
      <c r="U793" s="607"/>
    </row>
    <row r="794" spans="15:21" ht="12.75">
      <c r="O794" s="607"/>
      <c r="P794" s="607"/>
      <c r="Q794" s="607"/>
      <c r="R794" s="607"/>
      <c r="S794" s="607"/>
      <c r="T794" s="607"/>
      <c r="U794" s="607"/>
    </row>
    <row r="795" spans="15:21" ht="12.75">
      <c r="O795" s="607"/>
      <c r="P795" s="607"/>
      <c r="Q795" s="607"/>
      <c r="R795" s="607"/>
      <c r="S795" s="607"/>
      <c r="T795" s="607"/>
      <c r="U795" s="607"/>
    </row>
    <row r="796" spans="15:21" ht="12.75">
      <c r="O796" s="607"/>
      <c r="P796" s="607"/>
      <c r="Q796" s="607"/>
      <c r="R796" s="607"/>
      <c r="S796" s="607"/>
      <c r="T796" s="607"/>
      <c r="U796" s="607"/>
    </row>
    <row r="797" spans="15:21" ht="12.75">
      <c r="O797" s="607"/>
      <c r="P797" s="607"/>
      <c r="Q797" s="607"/>
      <c r="R797" s="607"/>
      <c r="S797" s="607"/>
      <c r="T797" s="607"/>
      <c r="U797" s="607"/>
    </row>
    <row r="798" spans="15:21" ht="12.75">
      <c r="O798" s="607"/>
      <c r="P798" s="607"/>
      <c r="Q798" s="607"/>
      <c r="R798" s="607"/>
      <c r="S798" s="607"/>
      <c r="T798" s="607"/>
      <c r="U798" s="607"/>
    </row>
    <row r="799" spans="15:21" ht="12.75">
      <c r="O799" s="607"/>
      <c r="P799" s="607"/>
      <c r="Q799" s="607"/>
      <c r="R799" s="607"/>
      <c r="S799" s="607"/>
      <c r="T799" s="607"/>
      <c r="U799" s="607"/>
    </row>
    <row r="800" spans="15:21" ht="12.75">
      <c r="O800" s="607"/>
      <c r="P800" s="607"/>
      <c r="Q800" s="607"/>
      <c r="R800" s="607"/>
      <c r="S800" s="607"/>
      <c r="T800" s="607"/>
      <c r="U800" s="607"/>
    </row>
    <row r="801" spans="15:21" ht="12.75">
      <c r="O801" s="607"/>
      <c r="P801" s="607"/>
      <c r="Q801" s="607"/>
      <c r="R801" s="607"/>
      <c r="S801" s="607"/>
      <c r="T801" s="607"/>
      <c r="U801" s="607"/>
    </row>
    <row r="802" spans="15:21" ht="12.75">
      <c r="O802" s="607"/>
      <c r="P802" s="607"/>
      <c r="Q802" s="607"/>
      <c r="R802" s="607"/>
      <c r="S802" s="607"/>
      <c r="T802" s="607"/>
      <c r="U802" s="607"/>
    </row>
    <row r="803" spans="15:21" ht="12.75">
      <c r="O803" s="607"/>
      <c r="P803" s="607"/>
      <c r="Q803" s="607"/>
      <c r="R803" s="607"/>
      <c r="S803" s="607"/>
      <c r="T803" s="607"/>
      <c r="U803" s="607"/>
    </row>
    <row r="804" spans="15:21" ht="12.75">
      <c r="O804" s="607"/>
      <c r="P804" s="607"/>
      <c r="Q804" s="607"/>
      <c r="R804" s="607"/>
      <c r="S804" s="607"/>
      <c r="T804" s="607"/>
      <c r="U804" s="607"/>
    </row>
    <row r="805" spans="15:21" ht="12.75">
      <c r="O805" s="607"/>
      <c r="P805" s="607"/>
      <c r="Q805" s="607"/>
      <c r="R805" s="607"/>
      <c r="S805" s="607"/>
      <c r="T805" s="607"/>
      <c r="U805" s="607"/>
    </row>
    <row r="806" spans="15:21" ht="12.75">
      <c r="O806" s="607"/>
      <c r="P806" s="607"/>
      <c r="Q806" s="607"/>
      <c r="R806" s="607"/>
      <c r="S806" s="607"/>
      <c r="T806" s="607"/>
      <c r="U806" s="607"/>
    </row>
    <row r="807" spans="15:21" ht="12.75">
      <c r="O807" s="607"/>
      <c r="P807" s="607"/>
      <c r="Q807" s="607"/>
      <c r="R807" s="607"/>
      <c r="S807" s="607"/>
      <c r="T807" s="607"/>
      <c r="U807" s="607"/>
    </row>
    <row r="808" spans="15:21" ht="12.75">
      <c r="O808" s="607"/>
      <c r="P808" s="607"/>
      <c r="Q808" s="607"/>
      <c r="R808" s="607"/>
      <c r="S808" s="607"/>
      <c r="T808" s="607"/>
      <c r="U808" s="607"/>
    </row>
    <row r="809" spans="15:21" ht="12.75">
      <c r="O809" s="607"/>
      <c r="P809" s="607"/>
      <c r="Q809" s="607"/>
      <c r="R809" s="607"/>
      <c r="S809" s="607"/>
      <c r="T809" s="607"/>
      <c r="U809" s="607"/>
    </row>
    <row r="810" spans="15:21" ht="12.75">
      <c r="O810" s="607"/>
      <c r="P810" s="607"/>
      <c r="Q810" s="607"/>
      <c r="R810" s="607"/>
      <c r="S810" s="607"/>
      <c r="T810" s="607"/>
      <c r="U810" s="607"/>
    </row>
    <row r="811" spans="15:21" ht="12.75">
      <c r="O811" s="607"/>
      <c r="P811" s="607"/>
      <c r="Q811" s="607"/>
      <c r="R811" s="607"/>
      <c r="S811" s="607"/>
      <c r="T811" s="607"/>
      <c r="U811" s="607"/>
    </row>
    <row r="812" spans="15:21" ht="12.75">
      <c r="O812" s="607"/>
      <c r="P812" s="607"/>
      <c r="Q812" s="607"/>
      <c r="R812" s="607"/>
      <c r="S812" s="607"/>
      <c r="T812" s="607"/>
      <c r="U812" s="607"/>
    </row>
    <row r="813" spans="15:21" ht="12.75">
      <c r="O813" s="607"/>
      <c r="P813" s="607"/>
      <c r="Q813" s="607"/>
      <c r="R813" s="607"/>
      <c r="S813" s="607"/>
      <c r="T813" s="607"/>
      <c r="U813" s="607"/>
    </row>
    <row r="814" spans="15:21" ht="12.75">
      <c r="O814" s="607"/>
      <c r="P814" s="607"/>
      <c r="Q814" s="607"/>
      <c r="R814" s="607"/>
      <c r="S814" s="607"/>
      <c r="T814" s="607"/>
      <c r="U814" s="607"/>
    </row>
    <row r="815" spans="15:21" ht="12.75">
      <c r="O815" s="607"/>
      <c r="P815" s="607"/>
      <c r="Q815" s="607"/>
      <c r="R815" s="607"/>
      <c r="S815" s="607"/>
      <c r="T815" s="607"/>
      <c r="U815" s="607"/>
    </row>
    <row r="816" spans="15:21" ht="12.75">
      <c r="O816" s="607"/>
      <c r="P816" s="607"/>
      <c r="Q816" s="607"/>
      <c r="R816" s="607"/>
      <c r="S816" s="607"/>
      <c r="T816" s="607"/>
      <c r="U816" s="607"/>
    </row>
    <row r="817" spans="15:21" ht="12.75">
      <c r="O817" s="607"/>
      <c r="P817" s="607"/>
      <c r="Q817" s="607"/>
      <c r="R817" s="607"/>
      <c r="S817" s="607"/>
      <c r="T817" s="607"/>
      <c r="U817" s="607"/>
    </row>
    <row r="818" spans="15:21" ht="12.75">
      <c r="O818" s="607"/>
      <c r="P818" s="607"/>
      <c r="Q818" s="607"/>
      <c r="R818" s="607"/>
      <c r="S818" s="607"/>
      <c r="T818" s="607"/>
      <c r="U818" s="607"/>
    </row>
    <row r="819" spans="15:21" ht="12.75">
      <c r="O819" s="607"/>
      <c r="P819" s="607"/>
      <c r="Q819" s="607"/>
      <c r="R819" s="607"/>
      <c r="S819" s="607"/>
      <c r="T819" s="607"/>
      <c r="U819" s="607"/>
    </row>
    <row r="820" spans="15:21" ht="12.75">
      <c r="O820" s="607"/>
      <c r="P820" s="607"/>
      <c r="Q820" s="607"/>
      <c r="R820" s="607"/>
      <c r="S820" s="607"/>
      <c r="T820" s="607"/>
      <c r="U820" s="607"/>
    </row>
    <row r="821" spans="15:21" ht="12.75">
      <c r="O821" s="607"/>
      <c r="P821" s="607"/>
      <c r="Q821" s="607"/>
      <c r="R821" s="607"/>
      <c r="S821" s="607"/>
      <c r="T821" s="607"/>
      <c r="U821" s="607"/>
    </row>
    <row r="822" spans="15:21" ht="12.75">
      <c r="O822" s="607"/>
      <c r="P822" s="607"/>
      <c r="Q822" s="607"/>
      <c r="R822" s="607"/>
      <c r="S822" s="607"/>
      <c r="T822" s="607"/>
      <c r="U822" s="607"/>
    </row>
    <row r="823" spans="15:21" ht="12.75">
      <c r="O823" s="607"/>
      <c r="P823" s="607"/>
      <c r="Q823" s="607"/>
      <c r="R823" s="607"/>
      <c r="S823" s="607"/>
      <c r="T823" s="607"/>
      <c r="U823" s="607"/>
    </row>
    <row r="824" spans="15:21" ht="12.75">
      <c r="O824" s="607"/>
      <c r="P824" s="607"/>
      <c r="Q824" s="607"/>
      <c r="R824" s="607"/>
      <c r="S824" s="607"/>
      <c r="T824" s="607"/>
      <c r="U824" s="607"/>
    </row>
    <row r="825" spans="15:21" ht="12.75">
      <c r="O825" s="607"/>
      <c r="P825" s="607"/>
      <c r="Q825" s="607"/>
      <c r="R825" s="607"/>
      <c r="S825" s="607"/>
      <c r="T825" s="607"/>
      <c r="U825" s="607"/>
    </row>
    <row r="826" spans="15:21" ht="12.75">
      <c r="O826" s="607"/>
      <c r="P826" s="607"/>
      <c r="Q826" s="607"/>
      <c r="R826" s="607"/>
      <c r="S826" s="607"/>
      <c r="T826" s="607"/>
      <c r="U826" s="607"/>
    </row>
    <row r="827" spans="15:21" ht="12.75">
      <c r="O827" s="607"/>
      <c r="P827" s="607"/>
      <c r="Q827" s="607"/>
      <c r="R827" s="607"/>
      <c r="S827" s="607"/>
      <c r="T827" s="607"/>
      <c r="U827" s="607"/>
    </row>
    <row r="828" spans="15:21" ht="12.75">
      <c r="O828" s="607"/>
      <c r="P828" s="607"/>
      <c r="Q828" s="607"/>
      <c r="R828" s="607"/>
      <c r="S828" s="607"/>
      <c r="T828" s="607"/>
      <c r="U828" s="607"/>
    </row>
    <row r="829" spans="15:21" ht="12.75">
      <c r="O829" s="607"/>
      <c r="P829" s="607"/>
      <c r="Q829" s="607"/>
      <c r="R829" s="607"/>
      <c r="S829" s="607"/>
      <c r="T829" s="607"/>
      <c r="U829" s="607"/>
    </row>
    <row r="830" spans="15:21" ht="12.75">
      <c r="O830" s="607"/>
      <c r="P830" s="607"/>
      <c r="Q830" s="607"/>
      <c r="R830" s="607"/>
      <c r="S830" s="607"/>
      <c r="T830" s="607"/>
      <c r="U830" s="607"/>
    </row>
    <row r="831" spans="15:21" ht="12.75">
      <c r="O831" s="607"/>
      <c r="P831" s="607"/>
      <c r="Q831" s="607"/>
      <c r="R831" s="607"/>
      <c r="S831" s="607"/>
      <c r="T831" s="607"/>
      <c r="U831" s="607"/>
    </row>
    <row r="832" spans="15:21" ht="12.75">
      <c r="O832" s="607"/>
      <c r="P832" s="607"/>
      <c r="Q832" s="607"/>
      <c r="R832" s="607"/>
      <c r="S832" s="607"/>
      <c r="T832" s="607"/>
      <c r="U832" s="607"/>
    </row>
    <row r="833" spans="15:21" ht="12.75">
      <c r="O833" s="607"/>
      <c r="P833" s="607"/>
      <c r="Q833" s="607"/>
      <c r="R833" s="607"/>
      <c r="S833" s="607"/>
      <c r="T833" s="607"/>
      <c r="U833" s="607"/>
    </row>
    <row r="834" spans="15:21" ht="12.75">
      <c r="O834" s="607"/>
      <c r="P834" s="607"/>
      <c r="Q834" s="607"/>
      <c r="R834" s="607"/>
      <c r="S834" s="607"/>
      <c r="T834" s="607"/>
      <c r="U834" s="607"/>
    </row>
    <row r="835" spans="15:21" ht="12.75">
      <c r="O835" s="607"/>
      <c r="P835" s="607"/>
      <c r="Q835" s="607"/>
      <c r="R835" s="607"/>
      <c r="S835" s="607"/>
      <c r="T835" s="607"/>
      <c r="U835" s="607"/>
    </row>
    <row r="836" spans="15:21" ht="12.75">
      <c r="O836" s="607"/>
      <c r="P836" s="607"/>
      <c r="Q836" s="607"/>
      <c r="R836" s="607"/>
      <c r="S836" s="607"/>
      <c r="T836" s="607"/>
      <c r="U836" s="607"/>
    </row>
    <row r="837" spans="15:21" ht="12.75">
      <c r="O837" s="607"/>
      <c r="P837" s="607"/>
      <c r="Q837" s="607"/>
      <c r="R837" s="607"/>
      <c r="S837" s="607"/>
      <c r="T837" s="607"/>
      <c r="U837" s="607"/>
    </row>
    <row r="838" spans="15:21" ht="12.75">
      <c r="O838" s="607"/>
      <c r="P838" s="607"/>
      <c r="Q838" s="607"/>
      <c r="R838" s="607"/>
      <c r="S838" s="607"/>
      <c r="T838" s="607"/>
      <c r="U838" s="607"/>
    </row>
    <row r="839" spans="15:21" ht="12.75">
      <c r="O839" s="607"/>
      <c r="P839" s="607"/>
      <c r="Q839" s="607"/>
      <c r="R839" s="607"/>
      <c r="S839" s="607"/>
      <c r="T839" s="607"/>
      <c r="U839" s="607"/>
    </row>
    <row r="840" spans="15:21" ht="12.75">
      <c r="O840" s="607"/>
      <c r="P840" s="607"/>
      <c r="Q840" s="607"/>
      <c r="R840" s="607"/>
      <c r="S840" s="607"/>
      <c r="T840" s="607"/>
      <c r="U840" s="607"/>
    </row>
    <row r="841" spans="15:21" ht="12.75">
      <c r="O841" s="607"/>
      <c r="P841" s="607"/>
      <c r="Q841" s="607"/>
      <c r="R841" s="607"/>
      <c r="S841" s="607"/>
      <c r="T841" s="607"/>
      <c r="U841" s="607"/>
    </row>
    <row r="842" spans="15:21" ht="12.75">
      <c r="O842" s="607"/>
      <c r="P842" s="607"/>
      <c r="Q842" s="607"/>
      <c r="R842" s="607"/>
      <c r="S842" s="607"/>
      <c r="T842" s="607"/>
      <c r="U842" s="607"/>
    </row>
    <row r="843" spans="15:21" ht="12.75">
      <c r="O843" s="607"/>
      <c r="P843" s="607"/>
      <c r="Q843" s="607"/>
      <c r="R843" s="607"/>
      <c r="S843" s="607"/>
      <c r="T843" s="607"/>
      <c r="U843" s="607"/>
    </row>
    <row r="844" spans="15:21" ht="12.75">
      <c r="O844" s="607"/>
      <c r="P844" s="607"/>
      <c r="Q844" s="607"/>
      <c r="R844" s="607"/>
      <c r="S844" s="607"/>
      <c r="T844" s="607"/>
      <c r="U844" s="607"/>
    </row>
    <row r="845" spans="15:21" ht="12.75">
      <c r="O845" s="607"/>
      <c r="P845" s="607"/>
      <c r="Q845" s="607"/>
      <c r="R845" s="607"/>
      <c r="S845" s="607"/>
      <c r="T845" s="607"/>
      <c r="U845" s="607"/>
    </row>
    <row r="846" spans="15:21" ht="12.75">
      <c r="O846" s="607"/>
      <c r="P846" s="607"/>
      <c r="Q846" s="607"/>
      <c r="R846" s="607"/>
      <c r="S846" s="607"/>
      <c r="T846" s="607"/>
      <c r="U846" s="607"/>
    </row>
    <row r="847" spans="15:21" ht="12.75">
      <c r="O847" s="607"/>
      <c r="P847" s="607"/>
      <c r="Q847" s="607"/>
      <c r="R847" s="607"/>
      <c r="S847" s="607"/>
      <c r="T847" s="607"/>
      <c r="U847" s="607"/>
    </row>
    <row r="848" spans="15:21" ht="12.75">
      <c r="O848" s="607"/>
      <c r="P848" s="607"/>
      <c r="Q848" s="607"/>
      <c r="R848" s="607"/>
      <c r="S848" s="607"/>
      <c r="T848" s="607"/>
      <c r="U848" s="607"/>
    </row>
    <row r="849" spans="15:21" ht="12.75">
      <c r="O849" s="607"/>
      <c r="P849" s="607"/>
      <c r="Q849" s="607"/>
      <c r="R849" s="607"/>
      <c r="S849" s="607"/>
      <c r="T849" s="607"/>
      <c r="U849" s="607"/>
    </row>
    <row r="850" spans="15:21" ht="12.75">
      <c r="O850" s="607"/>
      <c r="P850" s="607"/>
      <c r="Q850" s="607"/>
      <c r="R850" s="607"/>
      <c r="S850" s="607"/>
      <c r="T850" s="607"/>
      <c r="U850" s="607"/>
    </row>
    <row r="851" spans="15:21" ht="12.75">
      <c r="O851" s="607"/>
      <c r="P851" s="607"/>
      <c r="Q851" s="607"/>
      <c r="R851" s="607"/>
      <c r="S851" s="607"/>
      <c r="T851" s="607"/>
      <c r="U851" s="607"/>
    </row>
    <row r="852" spans="15:21" ht="12.75">
      <c r="O852" s="607"/>
      <c r="P852" s="607"/>
      <c r="Q852" s="607"/>
      <c r="R852" s="607"/>
      <c r="S852" s="607"/>
      <c r="T852" s="607"/>
      <c r="U852" s="607"/>
    </row>
    <row r="853" spans="15:21" ht="12.75">
      <c r="O853" s="607"/>
      <c r="P853" s="607"/>
      <c r="Q853" s="607"/>
      <c r="R853" s="607"/>
      <c r="S853" s="607"/>
      <c r="T853" s="607"/>
      <c r="U853" s="607"/>
    </row>
    <row r="854" spans="15:21" ht="12.75">
      <c r="O854" s="607"/>
      <c r="P854" s="607"/>
      <c r="Q854" s="607"/>
      <c r="R854" s="607"/>
      <c r="S854" s="607"/>
      <c r="T854" s="607"/>
      <c r="U854" s="607"/>
    </row>
    <row r="855" spans="15:21" ht="12.75">
      <c r="O855" s="607"/>
      <c r="P855" s="607"/>
      <c r="Q855" s="607"/>
      <c r="R855" s="607"/>
      <c r="S855" s="607"/>
      <c r="T855" s="607"/>
      <c r="U855" s="607"/>
    </row>
    <row r="856" spans="15:21" ht="12.75">
      <c r="O856" s="607"/>
      <c r="P856" s="607"/>
      <c r="Q856" s="607"/>
      <c r="R856" s="607"/>
      <c r="S856" s="607"/>
      <c r="T856" s="607"/>
      <c r="U856" s="607"/>
    </row>
    <row r="857" spans="15:21" ht="12.75">
      <c r="O857" s="607"/>
      <c r="P857" s="607"/>
      <c r="Q857" s="607"/>
      <c r="R857" s="607"/>
      <c r="S857" s="607"/>
      <c r="T857" s="607"/>
      <c r="U857" s="607"/>
    </row>
    <row r="858" spans="15:21" ht="12.75">
      <c r="O858" s="607"/>
      <c r="P858" s="607"/>
      <c r="Q858" s="607"/>
      <c r="R858" s="607"/>
      <c r="S858" s="607"/>
      <c r="T858" s="607"/>
      <c r="U858" s="607"/>
    </row>
    <row r="859" spans="15:21" ht="12.75">
      <c r="O859" s="607"/>
      <c r="P859" s="607"/>
      <c r="Q859" s="607"/>
      <c r="R859" s="607"/>
      <c r="S859" s="607"/>
      <c r="T859" s="607"/>
      <c r="U859" s="607"/>
    </row>
    <row r="860" spans="15:21" ht="12.75">
      <c r="O860" s="607"/>
      <c r="P860" s="607"/>
      <c r="Q860" s="607"/>
      <c r="R860" s="607"/>
      <c r="S860" s="607"/>
      <c r="T860" s="607"/>
      <c r="U860" s="607"/>
    </row>
    <row r="861" spans="15:21" ht="12.75">
      <c r="O861" s="607"/>
      <c r="P861" s="607"/>
      <c r="Q861" s="607"/>
      <c r="R861" s="607"/>
      <c r="S861" s="607"/>
      <c r="T861" s="607"/>
      <c r="U861" s="607"/>
    </row>
    <row r="862" spans="15:21" ht="12.75">
      <c r="O862" s="607"/>
      <c r="P862" s="607"/>
      <c r="Q862" s="607"/>
      <c r="R862" s="607"/>
      <c r="S862" s="607"/>
      <c r="T862" s="607"/>
      <c r="U862" s="607"/>
    </row>
    <row r="863" spans="15:21" ht="12.75">
      <c r="O863" s="607"/>
      <c r="P863" s="607"/>
      <c r="Q863" s="607"/>
      <c r="R863" s="607"/>
      <c r="S863" s="607"/>
      <c r="T863" s="607"/>
      <c r="U863" s="607"/>
    </row>
    <row r="864" spans="15:21" ht="12.75">
      <c r="O864" s="607"/>
      <c r="P864" s="607"/>
      <c r="Q864" s="607"/>
      <c r="R864" s="607"/>
      <c r="S864" s="607"/>
      <c r="T864" s="607"/>
      <c r="U864" s="607"/>
    </row>
    <row r="865" spans="15:21" ht="12.75">
      <c r="O865" s="607"/>
      <c r="P865" s="607"/>
      <c r="Q865" s="607"/>
      <c r="R865" s="607"/>
      <c r="S865" s="607"/>
      <c r="T865" s="607"/>
      <c r="U865" s="607"/>
    </row>
    <row r="866" spans="15:21" ht="12.75">
      <c r="O866" s="607"/>
      <c r="P866" s="607"/>
      <c r="Q866" s="607"/>
      <c r="R866" s="607"/>
      <c r="S866" s="607"/>
      <c r="T866" s="607"/>
      <c r="U866" s="607"/>
    </row>
    <row r="867" spans="15:21" ht="12.75">
      <c r="O867" s="607"/>
      <c r="P867" s="607"/>
      <c r="Q867" s="607"/>
      <c r="R867" s="607"/>
      <c r="S867" s="607"/>
      <c r="T867" s="607"/>
      <c r="U867" s="607"/>
    </row>
    <row r="868" spans="15:21" ht="12.75">
      <c r="O868" s="607"/>
      <c r="P868" s="607"/>
      <c r="Q868" s="607"/>
      <c r="R868" s="607"/>
      <c r="S868" s="607"/>
      <c r="T868" s="607"/>
      <c r="U868" s="607"/>
    </row>
    <row r="869" spans="15:21" ht="12.75">
      <c r="O869" s="607"/>
      <c r="P869" s="607"/>
      <c r="Q869" s="607"/>
      <c r="R869" s="607"/>
      <c r="S869" s="607"/>
      <c r="T869" s="607"/>
      <c r="U869" s="607"/>
    </row>
    <row r="870" spans="15:21" ht="12.75">
      <c r="O870" s="607"/>
      <c r="P870" s="607"/>
      <c r="Q870" s="607"/>
      <c r="R870" s="607"/>
      <c r="S870" s="607"/>
      <c r="T870" s="607"/>
      <c r="U870" s="607"/>
    </row>
    <row r="871" spans="15:21" ht="12.75">
      <c r="O871" s="607"/>
      <c r="P871" s="607"/>
      <c r="Q871" s="607"/>
      <c r="R871" s="607"/>
      <c r="S871" s="607"/>
      <c r="T871" s="607"/>
      <c r="U871" s="607"/>
    </row>
    <row r="872" spans="15:21" ht="12.75">
      <c r="O872" s="607"/>
      <c r="P872" s="607"/>
      <c r="Q872" s="607"/>
      <c r="R872" s="607"/>
      <c r="S872" s="607"/>
      <c r="T872" s="607"/>
      <c r="U872" s="607"/>
    </row>
    <row r="873" spans="15:21" ht="12.75">
      <c r="O873" s="607"/>
      <c r="P873" s="607"/>
      <c r="Q873" s="607"/>
      <c r="R873" s="607"/>
      <c r="S873" s="607"/>
      <c r="T873" s="607"/>
      <c r="U873" s="607"/>
    </row>
    <row r="874" spans="15:21" ht="12.75">
      <c r="O874" s="607"/>
      <c r="P874" s="607"/>
      <c r="Q874" s="607"/>
      <c r="R874" s="607"/>
      <c r="S874" s="607"/>
      <c r="T874" s="607"/>
      <c r="U874" s="607"/>
    </row>
    <row r="875" spans="15:21" ht="12.75">
      <c r="O875" s="607"/>
      <c r="P875" s="607"/>
      <c r="Q875" s="607"/>
      <c r="R875" s="607"/>
      <c r="S875" s="607"/>
      <c r="T875" s="607"/>
      <c r="U875" s="607"/>
    </row>
    <row r="876" spans="15:21" ht="12.75">
      <c r="O876" s="607"/>
      <c r="P876" s="607"/>
      <c r="Q876" s="607"/>
      <c r="R876" s="607"/>
      <c r="S876" s="607"/>
      <c r="T876" s="607"/>
      <c r="U876" s="607"/>
    </row>
    <row r="877" spans="15:21" ht="12.75">
      <c r="O877" s="607"/>
      <c r="P877" s="607"/>
      <c r="Q877" s="607"/>
      <c r="R877" s="607"/>
      <c r="S877" s="607"/>
      <c r="T877" s="607"/>
      <c r="U877" s="607"/>
    </row>
    <row r="878" spans="15:21" ht="12.75">
      <c r="O878" s="607"/>
      <c r="P878" s="607"/>
      <c r="Q878" s="607"/>
      <c r="R878" s="607"/>
      <c r="S878" s="607"/>
      <c r="T878" s="607"/>
      <c r="U878" s="607"/>
    </row>
    <row r="879" spans="15:21" ht="12.75">
      <c r="O879" s="607"/>
      <c r="P879" s="607"/>
      <c r="Q879" s="607"/>
      <c r="R879" s="607"/>
      <c r="S879" s="607"/>
      <c r="T879" s="607"/>
      <c r="U879" s="607"/>
    </row>
    <row r="880" spans="15:21" ht="12.75">
      <c r="O880" s="607"/>
      <c r="P880" s="607"/>
      <c r="Q880" s="607"/>
      <c r="R880" s="607"/>
      <c r="S880" s="607"/>
      <c r="T880" s="607"/>
      <c r="U880" s="607"/>
    </row>
    <row r="881" spans="15:21" ht="12.75">
      <c r="O881" s="607"/>
      <c r="P881" s="607"/>
      <c r="Q881" s="607"/>
      <c r="R881" s="607"/>
      <c r="S881" s="607"/>
      <c r="T881" s="607"/>
      <c r="U881" s="607"/>
    </row>
    <row r="882" spans="15:21" ht="12.75">
      <c r="O882" s="607"/>
      <c r="P882" s="607"/>
      <c r="Q882" s="607"/>
      <c r="R882" s="607"/>
      <c r="S882" s="607"/>
      <c r="T882" s="607"/>
      <c r="U882" s="607"/>
    </row>
    <row r="883" spans="15:21" ht="12.75">
      <c r="O883" s="607"/>
      <c r="P883" s="607"/>
      <c r="Q883" s="607"/>
      <c r="R883" s="607"/>
      <c r="S883" s="607"/>
      <c r="T883" s="607"/>
      <c r="U883" s="607"/>
    </row>
    <row r="884" spans="15:21" ht="12.75">
      <c r="O884" s="607"/>
      <c r="P884" s="607"/>
      <c r="Q884" s="607"/>
      <c r="R884" s="607"/>
      <c r="S884" s="607"/>
      <c r="T884" s="607"/>
      <c r="U884" s="607"/>
    </row>
    <row r="885" spans="15:21" ht="12.75">
      <c r="O885" s="607"/>
      <c r="P885" s="607"/>
      <c r="Q885" s="607"/>
      <c r="R885" s="607"/>
      <c r="S885" s="607"/>
      <c r="T885" s="607"/>
      <c r="U885" s="607"/>
    </row>
    <row r="886" spans="15:21" ht="12.75">
      <c r="O886" s="607"/>
      <c r="P886" s="607"/>
      <c r="Q886" s="607"/>
      <c r="R886" s="607"/>
      <c r="S886" s="607"/>
      <c r="T886" s="607"/>
      <c r="U886" s="607"/>
    </row>
    <row r="887" spans="15:21" ht="12.75">
      <c r="O887" s="607"/>
      <c r="P887" s="607"/>
      <c r="Q887" s="607"/>
      <c r="R887" s="607"/>
      <c r="S887" s="607"/>
      <c r="T887" s="607"/>
      <c r="U887" s="607"/>
    </row>
    <row r="888" spans="15:21" ht="12.75">
      <c r="O888" s="607"/>
      <c r="P888" s="607"/>
      <c r="Q888" s="607"/>
      <c r="R888" s="607"/>
      <c r="S888" s="607"/>
      <c r="T888" s="607"/>
      <c r="U888" s="607"/>
    </row>
    <row r="889" spans="15:21" ht="12.75">
      <c r="O889" s="607"/>
      <c r="P889" s="607"/>
      <c r="Q889" s="607"/>
      <c r="R889" s="607"/>
      <c r="S889" s="607"/>
      <c r="T889" s="607"/>
      <c r="U889" s="607"/>
    </row>
    <row r="890" spans="15:21" ht="12.75">
      <c r="O890" s="607"/>
      <c r="P890" s="607"/>
      <c r="Q890" s="607"/>
      <c r="R890" s="607"/>
      <c r="S890" s="607"/>
      <c r="T890" s="607"/>
      <c r="U890" s="607"/>
    </row>
    <row r="891" spans="15:21" ht="12.75">
      <c r="O891" s="607"/>
      <c r="P891" s="607"/>
      <c r="Q891" s="607"/>
      <c r="R891" s="607"/>
      <c r="S891" s="607"/>
      <c r="T891" s="607"/>
      <c r="U891" s="607"/>
    </row>
    <row r="892" spans="15:21" ht="12.75">
      <c r="O892" s="607"/>
      <c r="P892" s="607"/>
      <c r="Q892" s="607"/>
      <c r="R892" s="607"/>
      <c r="S892" s="607"/>
      <c r="T892" s="607"/>
      <c r="U892" s="607"/>
    </row>
    <row r="893" spans="15:21" ht="12.75">
      <c r="O893" s="607"/>
      <c r="P893" s="607"/>
      <c r="Q893" s="607"/>
      <c r="R893" s="607"/>
      <c r="S893" s="607"/>
      <c r="T893" s="607"/>
      <c r="U893" s="607"/>
    </row>
    <row r="894" spans="15:21" ht="12.75">
      <c r="O894" s="607"/>
      <c r="P894" s="607"/>
      <c r="Q894" s="607"/>
      <c r="R894" s="607"/>
      <c r="S894" s="607"/>
      <c r="T894" s="607"/>
      <c r="U894" s="607"/>
    </row>
    <row r="895" spans="15:21" ht="12.75">
      <c r="O895" s="607"/>
      <c r="P895" s="607"/>
      <c r="Q895" s="607"/>
      <c r="R895" s="607"/>
      <c r="S895" s="607"/>
      <c r="T895" s="607"/>
      <c r="U895" s="607"/>
    </row>
    <row r="896" spans="15:21" ht="12.75">
      <c r="O896" s="607"/>
      <c r="P896" s="607"/>
      <c r="Q896" s="607"/>
      <c r="R896" s="607"/>
      <c r="S896" s="607"/>
      <c r="T896" s="607"/>
      <c r="U896" s="607"/>
    </row>
    <row r="897" spans="15:21" ht="12.75">
      <c r="O897" s="607"/>
      <c r="P897" s="607"/>
      <c r="Q897" s="607"/>
      <c r="R897" s="607"/>
      <c r="S897" s="607"/>
      <c r="T897" s="607"/>
      <c r="U897" s="607"/>
    </row>
    <row r="898" spans="15:21" ht="12.75">
      <c r="O898" s="607"/>
      <c r="P898" s="607"/>
      <c r="Q898" s="607"/>
      <c r="R898" s="607"/>
      <c r="S898" s="607"/>
      <c r="T898" s="607"/>
      <c r="U898" s="607"/>
    </row>
    <row r="899" spans="15:21" ht="12.75">
      <c r="O899" s="607"/>
      <c r="P899" s="607"/>
      <c r="Q899" s="607"/>
      <c r="R899" s="607"/>
      <c r="S899" s="607"/>
      <c r="T899" s="607"/>
      <c r="U899" s="607"/>
    </row>
    <row r="900" spans="15:21" ht="12.75">
      <c r="O900" s="607"/>
      <c r="P900" s="607"/>
      <c r="Q900" s="607"/>
      <c r="R900" s="607"/>
      <c r="S900" s="607"/>
      <c r="T900" s="607"/>
      <c r="U900" s="607"/>
    </row>
    <row r="901" spans="15:21" ht="12.75">
      <c r="O901" s="607"/>
      <c r="P901" s="607"/>
      <c r="Q901" s="607"/>
      <c r="R901" s="607"/>
      <c r="S901" s="607"/>
      <c r="T901" s="607"/>
      <c r="U901" s="607"/>
    </row>
    <row r="902" spans="15:21" ht="12.75">
      <c r="O902" s="607"/>
      <c r="P902" s="607"/>
      <c r="Q902" s="607"/>
      <c r="R902" s="607"/>
      <c r="S902" s="607"/>
      <c r="T902" s="607"/>
      <c r="U902" s="607"/>
    </row>
    <row r="903" spans="15:21" ht="12.75">
      <c r="O903" s="607"/>
      <c r="P903" s="607"/>
      <c r="Q903" s="607"/>
      <c r="R903" s="607"/>
      <c r="S903" s="607"/>
      <c r="T903" s="607"/>
      <c r="U903" s="607"/>
    </row>
    <row r="904" spans="15:21" ht="12.75">
      <c r="O904" s="607"/>
      <c r="P904" s="607"/>
      <c r="Q904" s="607"/>
      <c r="R904" s="607"/>
      <c r="S904" s="607"/>
      <c r="T904" s="607"/>
      <c r="U904" s="607"/>
    </row>
    <row r="905" spans="15:21" ht="12.75">
      <c r="O905" s="607"/>
      <c r="P905" s="607"/>
      <c r="Q905" s="607"/>
      <c r="R905" s="607"/>
      <c r="S905" s="607"/>
      <c r="T905" s="607"/>
      <c r="U905" s="607"/>
    </row>
    <row r="906" spans="15:21" ht="12.75">
      <c r="O906" s="607"/>
      <c r="P906" s="607"/>
      <c r="Q906" s="607"/>
      <c r="R906" s="607"/>
      <c r="S906" s="607"/>
      <c r="T906" s="607"/>
      <c r="U906" s="607"/>
    </row>
    <row r="907" spans="15:21" ht="12.75">
      <c r="O907" s="607"/>
      <c r="P907" s="607"/>
      <c r="Q907" s="607"/>
      <c r="R907" s="607"/>
      <c r="S907" s="607"/>
      <c r="T907" s="607"/>
      <c r="U907" s="607"/>
    </row>
    <row r="908" spans="15:21" ht="12.75">
      <c r="O908" s="607"/>
      <c r="P908" s="607"/>
      <c r="Q908" s="607"/>
      <c r="R908" s="607"/>
      <c r="S908" s="607"/>
      <c r="T908" s="607"/>
      <c r="U908" s="607"/>
    </row>
    <row r="909" spans="15:21" ht="12.75">
      <c r="O909" s="607"/>
      <c r="P909" s="607"/>
      <c r="Q909" s="607"/>
      <c r="R909" s="607"/>
      <c r="S909" s="607"/>
      <c r="T909" s="607"/>
      <c r="U909" s="607"/>
    </row>
    <row r="910" spans="15:21" ht="12.75">
      <c r="O910" s="607"/>
      <c r="P910" s="607"/>
      <c r="Q910" s="607"/>
      <c r="R910" s="607"/>
      <c r="S910" s="607"/>
      <c r="T910" s="607"/>
      <c r="U910" s="607"/>
    </row>
    <row r="911" spans="15:21" ht="12.75">
      <c r="O911" s="607"/>
      <c r="P911" s="607"/>
      <c r="Q911" s="607"/>
      <c r="R911" s="607"/>
      <c r="S911" s="607"/>
      <c r="T911" s="607"/>
      <c r="U911" s="607"/>
    </row>
    <row r="912" spans="15:21" ht="12.75">
      <c r="O912" s="607"/>
      <c r="P912" s="607"/>
      <c r="Q912" s="607"/>
      <c r="R912" s="607"/>
      <c r="S912" s="607"/>
      <c r="T912" s="607"/>
      <c r="U912" s="607"/>
    </row>
    <row r="913" spans="15:21" ht="12.75">
      <c r="O913" s="607"/>
      <c r="P913" s="607"/>
      <c r="Q913" s="607"/>
      <c r="R913" s="607"/>
      <c r="S913" s="607"/>
      <c r="T913" s="607"/>
      <c r="U913" s="607"/>
    </row>
    <row r="914" spans="15:21" ht="12.75">
      <c r="O914" s="607"/>
      <c r="P914" s="607"/>
      <c r="Q914" s="607"/>
      <c r="R914" s="607"/>
      <c r="S914" s="607"/>
      <c r="T914" s="607"/>
      <c r="U914" s="607"/>
    </row>
    <row r="915" spans="15:21" ht="12.75">
      <c r="O915" s="607"/>
      <c r="P915" s="607"/>
      <c r="Q915" s="607"/>
      <c r="R915" s="607"/>
      <c r="S915" s="607"/>
      <c r="T915" s="607"/>
      <c r="U915" s="607"/>
    </row>
    <row r="916" spans="15:21" ht="12.75">
      <c r="O916" s="607"/>
      <c r="P916" s="607"/>
      <c r="Q916" s="607"/>
      <c r="R916" s="607"/>
      <c r="S916" s="607"/>
      <c r="T916" s="607"/>
      <c r="U916" s="607"/>
    </row>
    <row r="917" spans="15:21" ht="12.75">
      <c r="O917" s="607"/>
      <c r="P917" s="607"/>
      <c r="Q917" s="607"/>
      <c r="R917" s="607"/>
      <c r="S917" s="607"/>
      <c r="T917" s="607"/>
      <c r="U917" s="607"/>
    </row>
    <row r="918" spans="15:21" ht="12.75">
      <c r="O918" s="607"/>
      <c r="P918" s="607"/>
      <c r="Q918" s="607"/>
      <c r="R918" s="607"/>
      <c r="S918" s="607"/>
      <c r="T918" s="607"/>
      <c r="U918" s="607"/>
    </row>
    <row r="919" spans="15:21" ht="12.75">
      <c r="O919" s="607"/>
      <c r="P919" s="607"/>
      <c r="Q919" s="607"/>
      <c r="R919" s="607"/>
      <c r="S919" s="607"/>
      <c r="T919" s="607"/>
      <c r="U919" s="607"/>
    </row>
    <row r="920" spans="15:21" ht="12.75">
      <c r="O920" s="607"/>
      <c r="P920" s="607"/>
      <c r="Q920" s="607"/>
      <c r="R920" s="607"/>
      <c r="S920" s="607"/>
      <c r="T920" s="607"/>
      <c r="U920" s="607"/>
    </row>
    <row r="921" spans="15:21" ht="12.75">
      <c r="O921" s="607"/>
      <c r="P921" s="607"/>
      <c r="Q921" s="607"/>
      <c r="R921" s="607"/>
      <c r="S921" s="607"/>
      <c r="T921" s="607"/>
      <c r="U921" s="607"/>
    </row>
    <row r="922" spans="15:21" ht="12.75">
      <c r="O922" s="607"/>
      <c r="P922" s="607"/>
      <c r="Q922" s="607"/>
      <c r="R922" s="607"/>
      <c r="S922" s="607"/>
      <c r="T922" s="607"/>
      <c r="U922" s="607"/>
    </row>
    <row r="923" spans="15:21" ht="12.75">
      <c r="O923" s="607"/>
      <c r="P923" s="607"/>
      <c r="Q923" s="607"/>
      <c r="R923" s="607"/>
      <c r="S923" s="607"/>
      <c r="T923" s="607"/>
      <c r="U923" s="607"/>
    </row>
    <row r="924" spans="15:21" ht="12.75">
      <c r="O924" s="607"/>
      <c r="P924" s="607"/>
      <c r="Q924" s="607"/>
      <c r="R924" s="607"/>
      <c r="S924" s="607"/>
      <c r="T924" s="607"/>
      <c r="U924" s="607"/>
    </row>
    <row r="925" spans="15:21" ht="12.75">
      <c r="O925" s="607"/>
      <c r="P925" s="607"/>
      <c r="Q925" s="607"/>
      <c r="R925" s="607"/>
      <c r="S925" s="607"/>
      <c r="T925" s="607"/>
      <c r="U925" s="607"/>
    </row>
    <row r="926" spans="15:21" ht="12.75">
      <c r="O926" s="607"/>
      <c r="P926" s="607"/>
      <c r="Q926" s="607"/>
      <c r="R926" s="607"/>
      <c r="S926" s="607"/>
      <c r="T926" s="607"/>
      <c r="U926" s="607"/>
    </row>
    <row r="927" spans="15:21" ht="12.75">
      <c r="O927" s="607"/>
      <c r="P927" s="607"/>
      <c r="Q927" s="607"/>
      <c r="R927" s="607"/>
      <c r="S927" s="607"/>
      <c r="T927" s="607"/>
      <c r="U927" s="607"/>
    </row>
    <row r="928" spans="15:21" ht="12.75">
      <c r="O928" s="607"/>
      <c r="P928" s="607"/>
      <c r="Q928" s="607"/>
      <c r="R928" s="607"/>
      <c r="S928" s="607"/>
      <c r="T928" s="607"/>
      <c r="U928" s="607"/>
    </row>
    <row r="929" spans="15:21" ht="12.75">
      <c r="O929" s="607"/>
      <c r="P929" s="607"/>
      <c r="Q929" s="607"/>
      <c r="R929" s="607"/>
      <c r="S929" s="607"/>
      <c r="T929" s="607"/>
      <c r="U929" s="607"/>
    </row>
    <row r="930" spans="15:21" ht="12.75">
      <c r="O930" s="607"/>
      <c r="P930" s="607"/>
      <c r="Q930" s="607"/>
      <c r="R930" s="607"/>
      <c r="S930" s="607"/>
      <c r="T930" s="607"/>
      <c r="U930" s="607"/>
    </row>
    <row r="931" spans="15:21" ht="12.75">
      <c r="O931" s="607"/>
      <c r="P931" s="607"/>
      <c r="Q931" s="607"/>
      <c r="R931" s="607"/>
      <c r="S931" s="607"/>
      <c r="T931" s="607"/>
      <c r="U931" s="607"/>
    </row>
    <row r="932" spans="15:21" ht="12.75">
      <c r="O932" s="607"/>
      <c r="P932" s="607"/>
      <c r="Q932" s="607"/>
      <c r="R932" s="607"/>
      <c r="S932" s="607"/>
      <c r="T932" s="607"/>
      <c r="U932" s="607"/>
    </row>
    <row r="933" spans="15:21" ht="12.75">
      <c r="O933" s="607"/>
      <c r="P933" s="607"/>
      <c r="Q933" s="607"/>
      <c r="R933" s="607"/>
      <c r="S933" s="607"/>
      <c r="T933" s="607"/>
      <c r="U933" s="607"/>
    </row>
    <row r="934" spans="15:21" ht="12.75">
      <c r="O934" s="607"/>
      <c r="P934" s="607"/>
      <c r="Q934" s="607"/>
      <c r="R934" s="607"/>
      <c r="S934" s="607"/>
      <c r="T934" s="607"/>
      <c r="U934" s="607"/>
    </row>
    <row r="935" spans="15:21" ht="12.75">
      <c r="O935" s="607"/>
      <c r="P935" s="607"/>
      <c r="Q935" s="607"/>
      <c r="R935" s="607"/>
      <c r="S935" s="607"/>
      <c r="T935" s="607"/>
      <c r="U935" s="607"/>
    </row>
    <row r="936" spans="15:21" ht="12.75">
      <c r="O936" s="607"/>
      <c r="P936" s="607"/>
      <c r="Q936" s="607"/>
      <c r="R936" s="607"/>
      <c r="S936" s="607"/>
      <c r="T936" s="607"/>
      <c r="U936" s="607"/>
    </row>
    <row r="937" spans="15:21" ht="12.75">
      <c r="O937" s="607"/>
      <c r="P937" s="607"/>
      <c r="Q937" s="607"/>
      <c r="R937" s="607"/>
      <c r="S937" s="607"/>
      <c r="T937" s="607"/>
      <c r="U937" s="607"/>
    </row>
    <row r="938" spans="15:21" ht="12.75">
      <c r="O938" s="607"/>
      <c r="P938" s="607"/>
      <c r="Q938" s="607"/>
      <c r="R938" s="607"/>
      <c r="S938" s="607"/>
      <c r="T938" s="607"/>
      <c r="U938" s="607"/>
    </row>
    <row r="939" spans="15:21" ht="12.75">
      <c r="O939" s="607"/>
      <c r="P939" s="607"/>
      <c r="Q939" s="607"/>
      <c r="R939" s="607"/>
      <c r="S939" s="607"/>
      <c r="T939" s="607"/>
      <c r="U939" s="607"/>
    </row>
    <row r="940" spans="15:21" ht="12.75">
      <c r="O940" s="607"/>
      <c r="P940" s="607"/>
      <c r="Q940" s="607"/>
      <c r="R940" s="607"/>
      <c r="S940" s="607"/>
      <c r="T940" s="607"/>
      <c r="U940" s="607"/>
    </row>
    <row r="941" spans="15:21" ht="12.75">
      <c r="O941" s="607"/>
      <c r="P941" s="607"/>
      <c r="Q941" s="607"/>
      <c r="R941" s="607"/>
      <c r="S941" s="607"/>
      <c r="T941" s="607"/>
      <c r="U941" s="607"/>
    </row>
    <row r="942" spans="15:21" ht="12.75">
      <c r="O942" s="607"/>
      <c r="P942" s="607"/>
      <c r="Q942" s="607"/>
      <c r="R942" s="607"/>
      <c r="S942" s="607"/>
      <c r="T942" s="607"/>
      <c r="U942" s="607"/>
    </row>
    <row r="943" spans="15:21" ht="12.75">
      <c r="O943" s="607"/>
      <c r="P943" s="607"/>
      <c r="Q943" s="607"/>
      <c r="R943" s="607"/>
      <c r="S943" s="607"/>
      <c r="T943" s="607"/>
      <c r="U943" s="607"/>
    </row>
    <row r="944" spans="15:21" ht="12.75">
      <c r="O944" s="607"/>
      <c r="P944" s="607"/>
      <c r="Q944" s="607"/>
      <c r="R944" s="607"/>
      <c r="S944" s="607"/>
      <c r="T944" s="607"/>
      <c r="U944" s="607"/>
    </row>
    <row r="945" spans="15:21" ht="12.75">
      <c r="O945" s="607"/>
      <c r="P945" s="607"/>
      <c r="Q945" s="607"/>
      <c r="R945" s="607"/>
      <c r="S945" s="607"/>
      <c r="T945" s="607"/>
      <c r="U945" s="607"/>
    </row>
    <row r="946" spans="15:21" ht="12.75">
      <c r="O946" s="607"/>
      <c r="P946" s="607"/>
      <c r="Q946" s="607"/>
      <c r="R946" s="607"/>
      <c r="S946" s="607"/>
      <c r="T946" s="607"/>
      <c r="U946" s="607"/>
    </row>
    <row r="947" spans="15:21" ht="12.75">
      <c r="O947" s="607"/>
      <c r="P947" s="607"/>
      <c r="Q947" s="607"/>
      <c r="R947" s="607"/>
      <c r="S947" s="607"/>
      <c r="T947" s="607"/>
      <c r="U947" s="607"/>
    </row>
    <row r="948" spans="15:21" ht="12.75">
      <c r="O948" s="607"/>
      <c r="P948" s="607"/>
      <c r="Q948" s="607"/>
      <c r="R948" s="607"/>
      <c r="S948" s="607"/>
      <c r="T948" s="607"/>
      <c r="U948" s="607"/>
    </row>
    <row r="949" spans="15:21" ht="12.75">
      <c r="O949" s="607"/>
      <c r="P949" s="607"/>
      <c r="Q949" s="607"/>
      <c r="R949" s="607"/>
      <c r="S949" s="607"/>
      <c r="T949" s="607"/>
      <c r="U949" s="607"/>
    </row>
    <row r="950" spans="15:21" ht="12.75">
      <c r="O950" s="607"/>
      <c r="P950" s="607"/>
      <c r="Q950" s="607"/>
      <c r="R950" s="607"/>
      <c r="S950" s="607"/>
      <c r="T950" s="607"/>
      <c r="U950" s="607"/>
    </row>
    <row r="951" spans="15:21" ht="12.75">
      <c r="O951" s="607"/>
      <c r="P951" s="607"/>
      <c r="Q951" s="607"/>
      <c r="R951" s="607"/>
      <c r="S951" s="607"/>
      <c r="T951" s="607"/>
      <c r="U951" s="607"/>
    </row>
    <row r="952" spans="15:21" ht="12.75">
      <c r="O952" s="607"/>
      <c r="P952" s="607"/>
      <c r="Q952" s="607"/>
      <c r="R952" s="607"/>
      <c r="S952" s="607"/>
      <c r="T952" s="607"/>
      <c r="U952" s="607"/>
    </row>
    <row r="953" spans="15:21" ht="12.75">
      <c r="O953" s="607"/>
      <c r="P953" s="607"/>
      <c r="Q953" s="607"/>
      <c r="R953" s="607"/>
      <c r="S953" s="607"/>
      <c r="T953" s="607"/>
      <c r="U953" s="607"/>
    </row>
    <row r="954" spans="15:21" ht="12.75">
      <c r="O954" s="607"/>
      <c r="P954" s="607"/>
      <c r="Q954" s="607"/>
      <c r="R954" s="607"/>
      <c r="S954" s="607"/>
      <c r="T954" s="607"/>
      <c r="U954" s="607"/>
    </row>
    <row r="955" spans="15:21" ht="12.75">
      <c r="O955" s="607"/>
      <c r="P955" s="607"/>
      <c r="Q955" s="607"/>
      <c r="R955" s="607"/>
      <c r="S955" s="607"/>
      <c r="T955" s="607"/>
      <c r="U955" s="607"/>
    </row>
    <row r="956" spans="15:21" ht="12.75">
      <c r="O956" s="607"/>
      <c r="P956" s="607"/>
      <c r="Q956" s="607"/>
      <c r="R956" s="607"/>
      <c r="S956" s="607"/>
      <c r="T956" s="607"/>
      <c r="U956" s="607"/>
    </row>
    <row r="957" spans="15:21" ht="12.75">
      <c r="O957" s="607"/>
      <c r="P957" s="607"/>
      <c r="Q957" s="607"/>
      <c r="R957" s="607"/>
      <c r="S957" s="607"/>
      <c r="T957" s="607"/>
      <c r="U957" s="607"/>
    </row>
    <row r="958" spans="15:21" ht="12.75">
      <c r="O958" s="607"/>
      <c r="P958" s="607"/>
      <c r="Q958" s="607"/>
      <c r="R958" s="607"/>
      <c r="S958" s="607"/>
      <c r="T958" s="607"/>
      <c r="U958" s="607"/>
    </row>
    <row r="959" spans="15:21" ht="12.75">
      <c r="O959" s="607"/>
      <c r="P959" s="607"/>
      <c r="Q959" s="607"/>
      <c r="R959" s="607"/>
      <c r="S959" s="607"/>
      <c r="T959" s="607"/>
      <c r="U959" s="607"/>
    </row>
    <row r="960" spans="15:21" ht="12.75">
      <c r="O960" s="607"/>
      <c r="P960" s="607"/>
      <c r="Q960" s="607"/>
      <c r="R960" s="607"/>
      <c r="S960" s="607"/>
      <c r="T960" s="607"/>
      <c r="U960" s="607"/>
    </row>
    <row r="961" spans="15:21" ht="12.75">
      <c r="O961" s="607"/>
      <c r="P961" s="607"/>
      <c r="Q961" s="607"/>
      <c r="R961" s="607"/>
      <c r="S961" s="607"/>
      <c r="T961" s="607"/>
      <c r="U961" s="607"/>
    </row>
    <row r="962" spans="15:21" ht="12.75">
      <c r="O962" s="607"/>
      <c r="P962" s="607"/>
      <c r="Q962" s="607"/>
      <c r="R962" s="607"/>
      <c r="S962" s="607"/>
      <c r="T962" s="607"/>
      <c r="U962" s="607"/>
    </row>
    <row r="963" spans="15:21" ht="12.75">
      <c r="O963" s="607"/>
      <c r="P963" s="607"/>
      <c r="Q963" s="607"/>
      <c r="R963" s="607"/>
      <c r="S963" s="607"/>
      <c r="T963" s="607"/>
      <c r="U963" s="607"/>
    </row>
    <row r="964" spans="15:21" ht="12.75">
      <c r="O964" s="607"/>
      <c r="P964" s="607"/>
      <c r="Q964" s="607"/>
      <c r="R964" s="607"/>
      <c r="S964" s="607"/>
      <c r="T964" s="607"/>
      <c r="U964" s="607"/>
    </row>
    <row r="965" spans="15:21" ht="12.75">
      <c r="O965" s="607"/>
      <c r="P965" s="607"/>
      <c r="Q965" s="607"/>
      <c r="R965" s="607"/>
      <c r="S965" s="607"/>
      <c r="T965" s="607"/>
      <c r="U965" s="607"/>
    </row>
    <row r="966" spans="15:21" ht="12.75">
      <c r="O966" s="607"/>
      <c r="P966" s="607"/>
      <c r="Q966" s="607"/>
      <c r="R966" s="607"/>
      <c r="S966" s="607"/>
      <c r="T966" s="607"/>
      <c r="U966" s="607"/>
    </row>
    <row r="967" spans="15:21" ht="12.75">
      <c r="O967" s="607"/>
      <c r="P967" s="607"/>
      <c r="Q967" s="607"/>
      <c r="R967" s="607"/>
      <c r="S967" s="607"/>
      <c r="T967" s="607"/>
      <c r="U967" s="607"/>
    </row>
    <row r="968" spans="15:21" ht="12.75">
      <c r="O968" s="607"/>
      <c r="P968" s="607"/>
      <c r="Q968" s="607"/>
      <c r="R968" s="607"/>
      <c r="S968" s="607"/>
      <c r="T968" s="607"/>
      <c r="U968" s="607"/>
    </row>
    <row r="969" spans="15:21" ht="12.75">
      <c r="O969" s="607"/>
      <c r="P969" s="607"/>
      <c r="Q969" s="607"/>
      <c r="R969" s="607"/>
      <c r="S969" s="607"/>
      <c r="T969" s="607"/>
      <c r="U969" s="607"/>
    </row>
    <row r="970" spans="15:21" ht="12.75">
      <c r="O970" s="607"/>
      <c r="P970" s="607"/>
      <c r="Q970" s="607"/>
      <c r="R970" s="607"/>
      <c r="S970" s="607"/>
      <c r="T970" s="607"/>
      <c r="U970" s="607"/>
    </row>
    <row r="971" spans="15:21" ht="12.75">
      <c r="O971" s="607"/>
      <c r="P971" s="607"/>
      <c r="Q971" s="607"/>
      <c r="R971" s="607"/>
      <c r="S971" s="607"/>
      <c r="T971" s="607"/>
      <c r="U971" s="607"/>
    </row>
    <row r="972" spans="15:21" ht="12.75">
      <c r="O972" s="607"/>
      <c r="P972" s="607"/>
      <c r="Q972" s="607"/>
      <c r="R972" s="607"/>
      <c r="S972" s="607"/>
      <c r="T972" s="607"/>
      <c r="U972" s="607"/>
    </row>
    <row r="973" spans="15:21" ht="12.75">
      <c r="O973" s="607"/>
      <c r="P973" s="607"/>
      <c r="Q973" s="607"/>
      <c r="R973" s="607"/>
      <c r="S973" s="607"/>
      <c r="T973" s="607"/>
      <c r="U973" s="607"/>
    </row>
    <row r="974" spans="15:21" ht="12.75">
      <c r="O974" s="607"/>
      <c r="P974" s="607"/>
      <c r="Q974" s="607"/>
      <c r="R974" s="607"/>
      <c r="S974" s="607"/>
      <c r="T974" s="607"/>
      <c r="U974" s="607"/>
    </row>
    <row r="975" spans="15:21" ht="12.75">
      <c r="O975" s="607"/>
      <c r="P975" s="607"/>
      <c r="Q975" s="607"/>
      <c r="R975" s="607"/>
      <c r="S975" s="607"/>
      <c r="T975" s="607"/>
      <c r="U975" s="607"/>
    </row>
    <row r="976" spans="15:21" ht="12.75">
      <c r="O976" s="607"/>
      <c r="P976" s="607"/>
      <c r="Q976" s="607"/>
      <c r="R976" s="607"/>
      <c r="S976" s="607"/>
      <c r="T976" s="607"/>
      <c r="U976" s="607"/>
    </row>
    <row r="977" spans="15:21" ht="12.75">
      <c r="O977" s="607"/>
      <c r="P977" s="607"/>
      <c r="Q977" s="607"/>
      <c r="R977" s="607"/>
      <c r="S977" s="607"/>
      <c r="T977" s="607"/>
      <c r="U977" s="607"/>
    </row>
    <row r="978" spans="15:21" ht="12.75">
      <c r="O978" s="607"/>
      <c r="P978" s="607"/>
      <c r="Q978" s="607"/>
      <c r="R978" s="607"/>
      <c r="S978" s="607"/>
      <c r="T978" s="607"/>
      <c r="U978" s="607"/>
    </row>
    <row r="979" spans="15:21" ht="12.75">
      <c r="O979" s="607"/>
      <c r="P979" s="607"/>
      <c r="Q979" s="607"/>
      <c r="R979" s="607"/>
      <c r="S979" s="607"/>
      <c r="T979" s="607"/>
      <c r="U979" s="607"/>
    </row>
    <row r="980" spans="15:21" ht="12.75">
      <c r="O980" s="607"/>
      <c r="P980" s="607"/>
      <c r="Q980" s="607"/>
      <c r="R980" s="607"/>
      <c r="S980" s="607"/>
      <c r="T980" s="607"/>
      <c r="U980" s="607"/>
    </row>
    <row r="981" spans="15:21" ht="12.75">
      <c r="O981" s="607"/>
      <c r="P981" s="607"/>
      <c r="Q981" s="607"/>
      <c r="R981" s="607"/>
      <c r="S981" s="607"/>
      <c r="T981" s="607"/>
      <c r="U981" s="607"/>
    </row>
    <row r="982" spans="15:21" ht="12.75">
      <c r="O982" s="607"/>
      <c r="P982" s="607"/>
      <c r="Q982" s="607"/>
      <c r="R982" s="607"/>
      <c r="S982" s="607"/>
      <c r="T982" s="607"/>
      <c r="U982" s="607"/>
    </row>
    <row r="983" spans="15:21" ht="12.75">
      <c r="O983" s="607"/>
      <c r="P983" s="607"/>
      <c r="Q983" s="607"/>
      <c r="R983" s="607"/>
      <c r="S983" s="607"/>
      <c r="T983" s="607"/>
      <c r="U983" s="607"/>
    </row>
    <row r="984" spans="15:21" ht="12.75">
      <c r="O984" s="607"/>
      <c r="P984" s="607"/>
      <c r="Q984" s="607"/>
      <c r="R984" s="607"/>
      <c r="S984" s="607"/>
      <c r="T984" s="607"/>
      <c r="U984" s="607"/>
    </row>
    <row r="985" spans="15:21" ht="12.75">
      <c r="O985" s="607"/>
      <c r="P985" s="607"/>
      <c r="Q985" s="607"/>
      <c r="R985" s="607"/>
      <c r="S985" s="607"/>
      <c r="T985" s="607"/>
      <c r="U985" s="607"/>
    </row>
    <row r="986" spans="15:21" ht="12.75">
      <c r="O986" s="607"/>
      <c r="P986" s="607"/>
      <c r="Q986" s="607"/>
      <c r="R986" s="607"/>
      <c r="S986" s="607"/>
      <c r="T986" s="607"/>
      <c r="U986" s="607"/>
    </row>
    <row r="987" spans="15:21" ht="12.75">
      <c r="O987" s="607"/>
      <c r="P987" s="607"/>
      <c r="Q987" s="607"/>
      <c r="R987" s="607"/>
      <c r="S987" s="607"/>
      <c r="T987" s="607"/>
      <c r="U987" s="607"/>
    </row>
    <row r="988" spans="15:21" ht="12.75">
      <c r="O988" s="607"/>
      <c r="P988" s="607"/>
      <c r="Q988" s="607"/>
      <c r="R988" s="607"/>
      <c r="S988" s="607"/>
      <c r="T988" s="607"/>
      <c r="U988" s="607"/>
    </row>
    <row r="989" spans="15:21" ht="12.75">
      <c r="O989" s="607"/>
      <c r="P989" s="607"/>
      <c r="Q989" s="607"/>
      <c r="R989" s="607"/>
      <c r="S989" s="607"/>
      <c r="T989" s="607"/>
      <c r="U989" s="607"/>
    </row>
    <row r="990" spans="15:21" ht="12.75">
      <c r="O990" s="607"/>
      <c r="P990" s="607"/>
      <c r="Q990" s="607"/>
      <c r="R990" s="607"/>
      <c r="S990" s="607"/>
      <c r="T990" s="607"/>
      <c r="U990" s="607"/>
    </row>
  </sheetData>
  <mergeCells count="20">
    <mergeCell ref="A257:B257"/>
    <mergeCell ref="A256:B256"/>
    <mergeCell ref="A1:B1"/>
    <mergeCell ref="A3:N3"/>
    <mergeCell ref="A4:N4"/>
    <mergeCell ref="A6:C8"/>
    <mergeCell ref="D6:D8"/>
    <mergeCell ref="E6:E8"/>
    <mergeCell ref="F6:J6"/>
    <mergeCell ref="L7:L8"/>
    <mergeCell ref="K6:L6"/>
    <mergeCell ref="N6:N8"/>
    <mergeCell ref="K7:K8"/>
    <mergeCell ref="M6:M8"/>
    <mergeCell ref="G7:G8"/>
    <mergeCell ref="J7:J8"/>
    <mergeCell ref="I7:I8"/>
    <mergeCell ref="A255:B255"/>
    <mergeCell ref="F7:F8"/>
    <mergeCell ref="H7:H8"/>
  </mergeCells>
  <printOptions horizontalCentered="1"/>
  <pageMargins left="0.3937007874015748" right="0.3937007874015748" top="0.55" bottom="0.18" header="0.38" footer="0.17"/>
  <pageSetup horizontalDpi="600" verticalDpi="600" orientation="landscape" paperSize="9" scale="73" r:id="rId1"/>
  <headerFooter alignWithMargins="0">
    <oddHeader>&amp;L&amp;8 5.1 melléklet a 14/2013.(V.2.) önkormányzati rendelethez
</oddHeader>
  </headerFooter>
  <rowBreaks count="5" manualBreakCount="5">
    <brk id="44" max="13" man="1"/>
    <brk id="86" max="13" man="1"/>
    <brk id="128" max="13" man="1"/>
    <brk id="170" max="13" man="1"/>
    <brk id="212" max="1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44"/>
  <sheetViews>
    <sheetView view="pageBreakPreview" zoomScaleSheetLayoutView="100" workbookViewId="0" topLeftCell="A96">
      <selection activeCell="M102" sqref="M102"/>
    </sheetView>
  </sheetViews>
  <sheetFormatPr defaultColWidth="9.00390625" defaultRowHeight="12.75"/>
  <cols>
    <col min="1" max="1" width="8.00390625" style="507" customWidth="1"/>
    <col min="2" max="2" width="65.00390625" style="508" customWidth="1"/>
    <col min="3" max="3" width="14.25390625" style="509" customWidth="1"/>
    <col min="4" max="4" width="9.25390625" style="510" customWidth="1"/>
    <col min="5" max="5" width="9.00390625" style="508" customWidth="1"/>
    <col min="6" max="6" width="9.875" style="508" customWidth="1"/>
    <col min="7" max="7" width="8.75390625" style="508" customWidth="1"/>
    <col min="8" max="8" width="9.625" style="508" customWidth="1"/>
    <col min="9" max="9" width="9.375" style="508" customWidth="1"/>
    <col min="10" max="10" width="10.125" style="508" customWidth="1"/>
    <col min="11" max="11" width="9.375" style="508" customWidth="1"/>
    <col min="12" max="12" width="9.125" style="508" customWidth="1"/>
    <col min="13" max="13" width="8.875" style="512" customWidth="1"/>
    <col min="14" max="14" width="10.875" style="508" customWidth="1"/>
    <col min="15" max="16384" width="9.125" style="508" customWidth="1"/>
  </cols>
  <sheetData>
    <row r="1" spans="6:14" ht="12.75">
      <c r="F1" s="507"/>
      <c r="G1" s="507"/>
      <c r="H1" s="507"/>
      <c r="I1" s="507"/>
      <c r="J1" s="507"/>
      <c r="K1" s="507"/>
      <c r="L1" s="507"/>
      <c r="M1" s="511"/>
      <c r="N1" s="507"/>
    </row>
    <row r="2" spans="1:2" ht="12.75">
      <c r="A2" s="1387"/>
      <c r="B2" s="1388"/>
    </row>
    <row r="4" spans="1:14" ht="14.25">
      <c r="A4" s="1389" t="s">
        <v>29</v>
      </c>
      <c r="B4" s="1389"/>
      <c r="C4" s="1389"/>
      <c r="D4" s="1389"/>
      <c r="E4" s="1389"/>
      <c r="F4" s="1389"/>
      <c r="G4" s="1389"/>
      <c r="H4" s="1389"/>
      <c r="I4" s="1389"/>
      <c r="J4" s="1389"/>
      <c r="K4" s="1389"/>
      <c r="L4" s="1389"/>
      <c r="M4" s="1389"/>
      <c r="N4" s="1389"/>
    </row>
    <row r="5" spans="1:14" ht="15">
      <c r="A5" s="1390"/>
      <c r="B5" s="1390"/>
      <c r="C5" s="1390"/>
      <c r="D5" s="1390"/>
      <c r="E5" s="1390"/>
      <c r="F5" s="1390"/>
      <c r="G5" s="1390"/>
      <c r="H5" s="1390"/>
      <c r="I5" s="1390"/>
      <c r="J5" s="1390"/>
      <c r="K5" s="1390"/>
      <c r="L5" s="1390"/>
      <c r="M5" s="1390"/>
      <c r="N5" s="1390"/>
    </row>
    <row r="6" spans="12:14" ht="13.5" thickBot="1">
      <c r="L6" s="510"/>
      <c r="M6" s="513"/>
      <c r="N6" s="513" t="s">
        <v>30</v>
      </c>
    </row>
    <row r="7" spans="1:14" ht="13.5" thickBot="1">
      <c r="A7" s="1391" t="s">
        <v>873</v>
      </c>
      <c r="B7" s="1392"/>
      <c r="C7" s="1392"/>
      <c r="D7" s="1397" t="s">
        <v>31</v>
      </c>
      <c r="E7" s="1400" t="s">
        <v>32</v>
      </c>
      <c r="F7" s="1374" t="s">
        <v>822</v>
      </c>
      <c r="G7" s="1374"/>
      <c r="H7" s="1374"/>
      <c r="I7" s="1374"/>
      <c r="J7" s="1374"/>
      <c r="K7" s="1374" t="s">
        <v>823</v>
      </c>
      <c r="L7" s="1374"/>
      <c r="M7" s="1380" t="s">
        <v>33</v>
      </c>
      <c r="N7" s="1375" t="s">
        <v>34</v>
      </c>
    </row>
    <row r="8" spans="1:14" ht="14.25" thickBot="1" thickTop="1">
      <c r="A8" s="1393"/>
      <c r="B8" s="1394"/>
      <c r="C8" s="1394"/>
      <c r="D8" s="1398"/>
      <c r="E8" s="1401"/>
      <c r="F8" s="1370" t="s">
        <v>35</v>
      </c>
      <c r="G8" s="1370" t="s">
        <v>36</v>
      </c>
      <c r="H8" s="1370" t="s">
        <v>37</v>
      </c>
      <c r="I8" s="1370" t="s">
        <v>38</v>
      </c>
      <c r="J8" s="1370" t="s">
        <v>39</v>
      </c>
      <c r="K8" s="1378" t="s">
        <v>765</v>
      </c>
      <c r="L8" s="1378" t="s">
        <v>762</v>
      </c>
      <c r="M8" s="1381"/>
      <c r="N8" s="1376"/>
    </row>
    <row r="9" spans="1:14" ht="39" customHeight="1" thickBot="1" thickTop="1">
      <c r="A9" s="1395"/>
      <c r="B9" s="1396"/>
      <c r="C9" s="1396"/>
      <c r="D9" s="1399"/>
      <c r="E9" s="1402"/>
      <c r="F9" s="1371"/>
      <c r="G9" s="1371"/>
      <c r="H9" s="1371"/>
      <c r="I9" s="1371"/>
      <c r="J9" s="1371"/>
      <c r="K9" s="1379"/>
      <c r="L9" s="1379"/>
      <c r="M9" s="1382"/>
      <c r="N9" s="1377"/>
    </row>
    <row r="10" spans="1:14" ht="12" customHeight="1">
      <c r="A10" s="514">
        <v>421100</v>
      </c>
      <c r="B10" s="515" t="s">
        <v>40</v>
      </c>
      <c r="C10" s="516" t="s">
        <v>754</v>
      </c>
      <c r="D10" s="517"/>
      <c r="E10" s="518"/>
      <c r="F10" s="519"/>
      <c r="G10" s="519"/>
      <c r="H10" s="519"/>
      <c r="I10" s="519"/>
      <c r="J10" s="519"/>
      <c r="K10" s="518"/>
      <c r="L10" s="518"/>
      <c r="M10" s="519"/>
      <c r="N10" s="520"/>
    </row>
    <row r="11" spans="1:14" ht="13.5" customHeight="1">
      <c r="A11" s="521"/>
      <c r="B11" s="522"/>
      <c r="C11" s="523" t="s">
        <v>550</v>
      </c>
      <c r="D11" s="524"/>
      <c r="E11" s="525">
        <v>2823</v>
      </c>
      <c r="F11" s="526"/>
      <c r="G11" s="526"/>
      <c r="H11" s="527">
        <v>2823</v>
      </c>
      <c r="I11" s="526"/>
      <c r="J11" s="526"/>
      <c r="K11" s="528"/>
      <c r="L11" s="528"/>
      <c r="M11" s="526"/>
      <c r="N11" s="529"/>
    </row>
    <row r="12" spans="1:14" ht="13.5" customHeight="1">
      <c r="A12" s="521"/>
      <c r="B12" s="522"/>
      <c r="C12" s="523" t="s">
        <v>535</v>
      </c>
      <c r="D12" s="524"/>
      <c r="E12" s="525">
        <v>2823</v>
      </c>
      <c r="F12" s="526"/>
      <c r="G12" s="526"/>
      <c r="H12" s="527">
        <v>2823</v>
      </c>
      <c r="I12" s="526"/>
      <c r="J12" s="526"/>
      <c r="K12" s="528"/>
      <c r="L12" s="528"/>
      <c r="M12" s="526"/>
      <c r="N12" s="529"/>
    </row>
    <row r="13" spans="1:14" ht="15" customHeight="1">
      <c r="A13" s="530" t="s">
        <v>41</v>
      </c>
      <c r="B13" s="531" t="s">
        <v>44</v>
      </c>
      <c r="C13" s="523" t="s">
        <v>754</v>
      </c>
      <c r="D13" s="532">
        <v>2500</v>
      </c>
      <c r="E13" s="533">
        <f aca="true" t="shared" si="0" ref="E13:E42">SUM(F13:N13)</f>
        <v>3556</v>
      </c>
      <c r="F13" s="534"/>
      <c r="G13" s="534"/>
      <c r="H13" s="534">
        <v>3556</v>
      </c>
      <c r="I13" s="534"/>
      <c r="J13" s="534"/>
      <c r="K13" s="534"/>
      <c r="L13" s="534"/>
      <c r="M13" s="534"/>
      <c r="N13" s="535"/>
    </row>
    <row r="14" spans="1:14" ht="15" customHeight="1">
      <c r="A14" s="536"/>
      <c r="B14" s="537"/>
      <c r="C14" s="523" t="s">
        <v>550</v>
      </c>
      <c r="D14" s="532">
        <v>2036</v>
      </c>
      <c r="E14" s="533">
        <f t="shared" si="0"/>
        <v>2666</v>
      </c>
      <c r="F14" s="534"/>
      <c r="G14" s="534"/>
      <c r="H14" s="534">
        <v>2666</v>
      </c>
      <c r="I14" s="534"/>
      <c r="J14" s="534"/>
      <c r="K14" s="534"/>
      <c r="L14" s="534"/>
      <c r="M14" s="534"/>
      <c r="N14" s="535"/>
    </row>
    <row r="15" spans="1:14" ht="15" customHeight="1">
      <c r="A15" s="536"/>
      <c r="B15" s="537"/>
      <c r="C15" s="523" t="s">
        <v>535</v>
      </c>
      <c r="D15" s="532">
        <v>2253</v>
      </c>
      <c r="E15" s="533">
        <f t="shared" si="0"/>
        <v>1961</v>
      </c>
      <c r="F15" s="534"/>
      <c r="G15" s="534"/>
      <c r="H15" s="534">
        <v>1961</v>
      </c>
      <c r="I15" s="534"/>
      <c r="J15" s="534"/>
      <c r="K15" s="534"/>
      <c r="L15" s="534"/>
      <c r="M15" s="534"/>
      <c r="N15" s="535"/>
    </row>
    <row r="16" spans="1:14" ht="15" customHeight="1">
      <c r="A16" s="536" t="s">
        <v>45</v>
      </c>
      <c r="B16" s="537" t="s">
        <v>46</v>
      </c>
      <c r="C16" s="523" t="s">
        <v>754</v>
      </c>
      <c r="D16" s="532"/>
      <c r="E16" s="533">
        <f t="shared" si="0"/>
        <v>0</v>
      </c>
      <c r="F16" s="534"/>
      <c r="G16" s="534"/>
      <c r="H16" s="534"/>
      <c r="I16" s="534"/>
      <c r="J16" s="534"/>
      <c r="K16" s="534"/>
      <c r="L16" s="534"/>
      <c r="M16" s="534"/>
      <c r="N16" s="535"/>
    </row>
    <row r="17" spans="1:14" ht="15" customHeight="1">
      <c r="A17" s="536"/>
      <c r="B17" s="537"/>
      <c r="C17" s="523" t="s">
        <v>550</v>
      </c>
      <c r="D17" s="532">
        <v>116</v>
      </c>
      <c r="E17" s="533">
        <f t="shared" si="0"/>
        <v>1217</v>
      </c>
      <c r="F17" s="534"/>
      <c r="G17" s="534"/>
      <c r="H17" s="534">
        <v>1217</v>
      </c>
      <c r="I17" s="534"/>
      <c r="J17" s="534"/>
      <c r="K17" s="534"/>
      <c r="L17" s="534"/>
      <c r="M17" s="534"/>
      <c r="N17" s="535"/>
    </row>
    <row r="18" spans="1:14" ht="15" customHeight="1">
      <c r="A18" s="536"/>
      <c r="B18" s="537"/>
      <c r="C18" s="523" t="s">
        <v>535</v>
      </c>
      <c r="D18" s="532">
        <v>116</v>
      </c>
      <c r="E18" s="533">
        <f t="shared" si="0"/>
        <v>1232</v>
      </c>
      <c r="F18" s="534"/>
      <c r="G18" s="534"/>
      <c r="H18" s="534">
        <v>1232</v>
      </c>
      <c r="I18" s="534"/>
      <c r="J18" s="534"/>
      <c r="K18" s="534"/>
      <c r="L18" s="534"/>
      <c r="M18" s="534"/>
      <c r="N18" s="535"/>
    </row>
    <row r="19" spans="1:14" ht="15" customHeight="1">
      <c r="A19" s="538">
        <v>770000</v>
      </c>
      <c r="B19" s="539" t="s">
        <v>47</v>
      </c>
      <c r="C19" s="523" t="s">
        <v>754</v>
      </c>
      <c r="D19" s="532"/>
      <c r="E19" s="533">
        <f t="shared" si="0"/>
        <v>4100</v>
      </c>
      <c r="F19" s="534"/>
      <c r="G19" s="534"/>
      <c r="H19" s="534">
        <v>4100</v>
      </c>
      <c r="I19" s="534"/>
      <c r="J19" s="534"/>
      <c r="K19" s="534"/>
      <c r="L19" s="534"/>
      <c r="M19" s="534"/>
      <c r="N19" s="535"/>
    </row>
    <row r="20" spans="1:14" ht="15" customHeight="1">
      <c r="A20" s="538"/>
      <c r="B20" s="539"/>
      <c r="C20" s="523" t="s">
        <v>550</v>
      </c>
      <c r="D20" s="532"/>
      <c r="E20" s="533">
        <f t="shared" si="0"/>
        <v>3900</v>
      </c>
      <c r="F20" s="534"/>
      <c r="G20" s="534"/>
      <c r="H20" s="534">
        <v>3900</v>
      </c>
      <c r="I20" s="534"/>
      <c r="J20" s="534"/>
      <c r="K20" s="534"/>
      <c r="L20" s="534"/>
      <c r="M20" s="534"/>
      <c r="N20" s="535"/>
    </row>
    <row r="21" spans="1:14" ht="15" customHeight="1">
      <c r="A21" s="538"/>
      <c r="B21" s="539"/>
      <c r="C21" s="523" t="s">
        <v>535</v>
      </c>
      <c r="D21" s="532"/>
      <c r="E21" s="533">
        <f t="shared" si="0"/>
        <v>1937</v>
      </c>
      <c r="F21" s="534"/>
      <c r="G21" s="534"/>
      <c r="H21" s="534">
        <v>1937</v>
      </c>
      <c r="I21" s="534"/>
      <c r="J21" s="534"/>
      <c r="K21" s="534"/>
      <c r="L21" s="534"/>
      <c r="M21" s="534"/>
      <c r="N21" s="535"/>
    </row>
    <row r="22" spans="1:14" ht="15" customHeight="1">
      <c r="A22" s="538">
        <v>821000</v>
      </c>
      <c r="B22" s="537" t="s">
        <v>48</v>
      </c>
      <c r="C22" s="523" t="s">
        <v>754</v>
      </c>
      <c r="D22" s="532"/>
      <c r="E22" s="533">
        <f t="shared" si="0"/>
        <v>4500</v>
      </c>
      <c r="F22" s="534"/>
      <c r="G22" s="534"/>
      <c r="H22" s="534">
        <v>4500</v>
      </c>
      <c r="I22" s="534"/>
      <c r="J22" s="534"/>
      <c r="K22" s="534"/>
      <c r="L22" s="534"/>
      <c r="M22" s="534"/>
      <c r="N22" s="535"/>
    </row>
    <row r="23" spans="1:14" ht="15" customHeight="1">
      <c r="A23" s="538"/>
      <c r="B23" s="537"/>
      <c r="C23" s="523" t="s">
        <v>550</v>
      </c>
      <c r="D23" s="532"/>
      <c r="E23" s="533">
        <f t="shared" si="0"/>
        <v>4700</v>
      </c>
      <c r="F23" s="534"/>
      <c r="G23" s="534"/>
      <c r="H23" s="534">
        <v>4700</v>
      </c>
      <c r="I23" s="534"/>
      <c r="J23" s="534"/>
      <c r="K23" s="534"/>
      <c r="L23" s="534"/>
      <c r="M23" s="534"/>
      <c r="N23" s="535"/>
    </row>
    <row r="24" spans="1:14" ht="15" customHeight="1">
      <c r="A24" s="538"/>
      <c r="B24" s="537"/>
      <c r="C24" s="523" t="s">
        <v>535</v>
      </c>
      <c r="D24" s="532"/>
      <c r="E24" s="533">
        <f t="shared" si="0"/>
        <v>4694</v>
      </c>
      <c r="F24" s="534"/>
      <c r="G24" s="534"/>
      <c r="H24" s="534">
        <v>4694</v>
      </c>
      <c r="I24" s="534"/>
      <c r="J24" s="534"/>
      <c r="K24" s="534"/>
      <c r="L24" s="534"/>
      <c r="M24" s="534"/>
      <c r="N24" s="535"/>
    </row>
    <row r="25" spans="1:14" ht="15" customHeight="1">
      <c r="A25" s="538">
        <v>841112</v>
      </c>
      <c r="B25" s="537" t="s">
        <v>49</v>
      </c>
      <c r="C25" s="523" t="s">
        <v>754</v>
      </c>
      <c r="D25" s="532"/>
      <c r="E25" s="533">
        <f t="shared" si="0"/>
        <v>49299</v>
      </c>
      <c r="F25" s="534">
        <v>39028</v>
      </c>
      <c r="G25" s="534">
        <v>10175</v>
      </c>
      <c r="H25" s="534">
        <v>96</v>
      </c>
      <c r="I25" s="534"/>
      <c r="J25" s="534"/>
      <c r="K25" s="534"/>
      <c r="L25" s="534"/>
      <c r="M25" s="534"/>
      <c r="N25" s="535"/>
    </row>
    <row r="26" spans="1:14" ht="15" customHeight="1">
      <c r="A26" s="538"/>
      <c r="B26" s="537"/>
      <c r="C26" s="523" t="s">
        <v>550</v>
      </c>
      <c r="D26" s="532"/>
      <c r="E26" s="533">
        <f t="shared" si="0"/>
        <v>50209</v>
      </c>
      <c r="F26" s="534">
        <v>39528</v>
      </c>
      <c r="G26" s="534">
        <v>10375</v>
      </c>
      <c r="H26" s="534">
        <v>306</v>
      </c>
      <c r="I26" s="534"/>
      <c r="J26" s="534"/>
      <c r="K26" s="534"/>
      <c r="L26" s="534"/>
      <c r="M26" s="534"/>
      <c r="N26" s="535"/>
    </row>
    <row r="27" spans="1:14" ht="15" customHeight="1">
      <c r="A27" s="538"/>
      <c r="B27" s="537"/>
      <c r="C27" s="523" t="s">
        <v>535</v>
      </c>
      <c r="D27" s="532"/>
      <c r="E27" s="533">
        <f t="shared" si="0"/>
        <v>49979</v>
      </c>
      <c r="F27" s="534">
        <v>39374</v>
      </c>
      <c r="G27" s="534">
        <v>10365</v>
      </c>
      <c r="H27" s="534">
        <v>240</v>
      </c>
      <c r="I27" s="534"/>
      <c r="J27" s="534"/>
      <c r="K27" s="534"/>
      <c r="L27" s="534"/>
      <c r="M27" s="534"/>
      <c r="N27" s="535"/>
    </row>
    <row r="28" spans="1:14" ht="15" customHeight="1">
      <c r="A28" s="538">
        <v>841126</v>
      </c>
      <c r="B28" s="537" t="s">
        <v>50</v>
      </c>
      <c r="C28" s="523" t="s">
        <v>754</v>
      </c>
      <c r="D28" s="532">
        <v>21740</v>
      </c>
      <c r="E28" s="533">
        <f t="shared" si="0"/>
        <v>403799</v>
      </c>
      <c r="F28" s="534">
        <v>206306</v>
      </c>
      <c r="G28" s="534">
        <v>54814</v>
      </c>
      <c r="H28" s="534">
        <v>142679</v>
      </c>
      <c r="I28" s="534"/>
      <c r="J28" s="534"/>
      <c r="K28" s="534"/>
      <c r="L28" s="534"/>
      <c r="M28" s="534"/>
      <c r="N28" s="535"/>
    </row>
    <row r="29" spans="1:14" ht="15" customHeight="1">
      <c r="A29" s="538"/>
      <c r="B29" s="537"/>
      <c r="C29" s="523" t="s">
        <v>550</v>
      </c>
      <c r="D29" s="532">
        <v>486384</v>
      </c>
      <c r="E29" s="533">
        <f t="shared" si="0"/>
        <v>860448</v>
      </c>
      <c r="F29" s="534">
        <v>215663</v>
      </c>
      <c r="G29" s="534">
        <v>56550</v>
      </c>
      <c r="H29" s="534">
        <v>136059</v>
      </c>
      <c r="I29" s="534">
        <v>451507</v>
      </c>
      <c r="J29" s="534"/>
      <c r="K29" s="534"/>
      <c r="L29" s="534">
        <v>669</v>
      </c>
      <c r="M29" s="534"/>
      <c r="N29" s="535"/>
    </row>
    <row r="30" spans="1:14" ht="15" customHeight="1">
      <c r="A30" s="538"/>
      <c r="B30" s="537"/>
      <c r="C30" s="523" t="s">
        <v>535</v>
      </c>
      <c r="D30" s="532">
        <v>993456</v>
      </c>
      <c r="E30" s="533">
        <f t="shared" si="0"/>
        <v>841081</v>
      </c>
      <c r="F30" s="534">
        <v>209462</v>
      </c>
      <c r="G30" s="534">
        <v>55850</v>
      </c>
      <c r="H30" s="534">
        <v>111593</v>
      </c>
      <c r="I30" s="534">
        <v>463507</v>
      </c>
      <c r="J30" s="534"/>
      <c r="K30" s="534"/>
      <c r="L30" s="534">
        <v>669</v>
      </c>
      <c r="M30" s="534"/>
      <c r="N30" s="535"/>
    </row>
    <row r="31" spans="1:14" ht="15" customHeight="1">
      <c r="A31" s="538">
        <v>841133</v>
      </c>
      <c r="B31" s="537" t="s">
        <v>51</v>
      </c>
      <c r="C31" s="523" t="s">
        <v>754</v>
      </c>
      <c r="D31" s="532"/>
      <c r="E31" s="533">
        <f t="shared" si="0"/>
        <v>47562</v>
      </c>
      <c r="F31" s="534">
        <v>37592</v>
      </c>
      <c r="G31" s="534">
        <v>9746</v>
      </c>
      <c r="H31" s="534">
        <v>224</v>
      </c>
      <c r="I31" s="534"/>
      <c r="J31" s="534"/>
      <c r="K31" s="534"/>
      <c r="L31" s="534"/>
      <c r="M31" s="534"/>
      <c r="N31" s="535"/>
    </row>
    <row r="32" spans="1:14" ht="15" customHeight="1">
      <c r="A32" s="538"/>
      <c r="B32" s="537"/>
      <c r="C32" s="523" t="s">
        <v>550</v>
      </c>
      <c r="D32" s="532"/>
      <c r="E32" s="533">
        <f t="shared" si="0"/>
        <v>50312</v>
      </c>
      <c r="F32" s="534">
        <v>37787</v>
      </c>
      <c r="G32" s="534">
        <v>9801</v>
      </c>
      <c r="H32" s="534">
        <v>2724</v>
      </c>
      <c r="I32" s="534"/>
      <c r="J32" s="534"/>
      <c r="K32" s="534"/>
      <c r="L32" s="534"/>
      <c r="M32" s="534"/>
      <c r="N32" s="535"/>
    </row>
    <row r="33" spans="1:14" ht="15" customHeight="1">
      <c r="A33" s="538"/>
      <c r="B33" s="537"/>
      <c r="C33" s="523" t="s">
        <v>535</v>
      </c>
      <c r="D33" s="532"/>
      <c r="E33" s="533">
        <f t="shared" si="0"/>
        <v>42028</v>
      </c>
      <c r="F33" s="534">
        <v>31373</v>
      </c>
      <c r="G33" s="534">
        <v>8193</v>
      </c>
      <c r="H33" s="534">
        <v>2462</v>
      </c>
      <c r="I33" s="534"/>
      <c r="J33" s="534"/>
      <c r="K33" s="534"/>
      <c r="L33" s="534"/>
      <c r="M33" s="534"/>
      <c r="N33" s="535"/>
    </row>
    <row r="34" spans="1:14" ht="15" customHeight="1">
      <c r="A34" s="538">
        <v>841154</v>
      </c>
      <c r="B34" s="537" t="s">
        <v>52</v>
      </c>
      <c r="C34" s="523" t="s">
        <v>754</v>
      </c>
      <c r="D34" s="532"/>
      <c r="E34" s="533">
        <f t="shared" si="0"/>
        <v>0</v>
      </c>
      <c r="F34" s="534"/>
      <c r="G34" s="534"/>
      <c r="H34" s="534"/>
      <c r="I34" s="534"/>
      <c r="J34" s="534"/>
      <c r="K34" s="534"/>
      <c r="L34" s="534"/>
      <c r="M34" s="534"/>
      <c r="N34" s="535"/>
    </row>
    <row r="35" spans="1:14" ht="15" customHeight="1">
      <c r="A35" s="538"/>
      <c r="B35" s="537"/>
      <c r="C35" s="523" t="s">
        <v>550</v>
      </c>
      <c r="D35" s="532">
        <v>22047</v>
      </c>
      <c r="E35" s="533">
        <f t="shared" si="0"/>
        <v>22648</v>
      </c>
      <c r="F35" s="534"/>
      <c r="G35" s="534"/>
      <c r="H35" s="534">
        <v>4133</v>
      </c>
      <c r="I35" s="534"/>
      <c r="J35" s="534"/>
      <c r="K35" s="534"/>
      <c r="L35" s="534">
        <v>18515</v>
      </c>
      <c r="M35" s="534"/>
      <c r="N35" s="535"/>
    </row>
    <row r="36" spans="1:14" ht="15" customHeight="1">
      <c r="A36" s="538"/>
      <c r="B36" s="537"/>
      <c r="C36" s="523" t="s">
        <v>535</v>
      </c>
      <c r="D36" s="532">
        <v>18515</v>
      </c>
      <c r="E36" s="533">
        <f t="shared" si="0"/>
        <v>22608</v>
      </c>
      <c r="F36" s="534"/>
      <c r="G36" s="534"/>
      <c r="H36" s="534">
        <v>4093</v>
      </c>
      <c r="I36" s="534"/>
      <c r="J36" s="534"/>
      <c r="K36" s="534"/>
      <c r="L36" s="534">
        <v>18515</v>
      </c>
      <c r="M36" s="534"/>
      <c r="N36" s="535"/>
    </row>
    <row r="37" spans="1:14" ht="15" customHeight="1">
      <c r="A37" s="538">
        <v>841235</v>
      </c>
      <c r="B37" s="537" t="s">
        <v>53</v>
      </c>
      <c r="C37" s="523" t="s">
        <v>754</v>
      </c>
      <c r="D37" s="532"/>
      <c r="E37" s="533">
        <f t="shared" si="0"/>
        <v>0</v>
      </c>
      <c r="F37" s="534"/>
      <c r="G37" s="534"/>
      <c r="H37" s="534"/>
      <c r="I37" s="534"/>
      <c r="J37" s="534"/>
      <c r="K37" s="534"/>
      <c r="L37" s="534"/>
      <c r="M37" s="534"/>
      <c r="N37" s="535"/>
    </row>
    <row r="38" spans="1:14" ht="15" customHeight="1">
      <c r="A38" s="538"/>
      <c r="B38" s="537"/>
      <c r="C38" s="523" t="s">
        <v>550</v>
      </c>
      <c r="D38" s="532"/>
      <c r="E38" s="533">
        <f t="shared" si="0"/>
        <v>750</v>
      </c>
      <c r="F38" s="534"/>
      <c r="G38" s="534"/>
      <c r="H38" s="534">
        <v>750</v>
      </c>
      <c r="I38" s="534"/>
      <c r="J38" s="534"/>
      <c r="K38" s="534"/>
      <c r="L38" s="534"/>
      <c r="M38" s="534"/>
      <c r="N38" s="535"/>
    </row>
    <row r="39" spans="1:14" ht="15" customHeight="1">
      <c r="A39" s="538"/>
      <c r="B39" s="537"/>
      <c r="C39" s="523" t="s">
        <v>535</v>
      </c>
      <c r="D39" s="532"/>
      <c r="E39" s="533">
        <f t="shared" si="0"/>
        <v>750</v>
      </c>
      <c r="F39" s="534"/>
      <c r="G39" s="534"/>
      <c r="H39" s="534">
        <v>750</v>
      </c>
      <c r="I39" s="534"/>
      <c r="J39" s="534"/>
      <c r="K39" s="534"/>
      <c r="L39" s="534"/>
      <c r="M39" s="534"/>
      <c r="N39" s="535"/>
    </row>
    <row r="40" spans="1:14" ht="15" customHeight="1">
      <c r="A40" s="538">
        <v>841403</v>
      </c>
      <c r="B40" s="537" t="s">
        <v>54</v>
      </c>
      <c r="C40" s="523" t="s">
        <v>754</v>
      </c>
      <c r="D40" s="532"/>
      <c r="E40" s="533">
        <f t="shared" si="0"/>
        <v>79353</v>
      </c>
      <c r="F40" s="534">
        <v>62622</v>
      </c>
      <c r="G40" s="534">
        <v>15949</v>
      </c>
      <c r="H40" s="534">
        <v>782</v>
      </c>
      <c r="I40" s="534"/>
      <c r="J40" s="534"/>
      <c r="K40" s="534"/>
      <c r="L40" s="534"/>
      <c r="M40" s="534"/>
      <c r="N40" s="535"/>
    </row>
    <row r="41" spans="1:14" ht="15" customHeight="1">
      <c r="A41" s="538"/>
      <c r="B41" s="537"/>
      <c r="C41" s="523" t="s">
        <v>550</v>
      </c>
      <c r="D41" s="532"/>
      <c r="E41" s="533">
        <f t="shared" si="0"/>
        <v>83958</v>
      </c>
      <c r="F41" s="534">
        <v>66245</v>
      </c>
      <c r="G41" s="534">
        <v>16931</v>
      </c>
      <c r="H41" s="534">
        <v>782</v>
      </c>
      <c r="I41" s="534"/>
      <c r="J41" s="534"/>
      <c r="K41" s="534"/>
      <c r="L41" s="534"/>
      <c r="M41" s="534"/>
      <c r="N41" s="535"/>
    </row>
    <row r="42" spans="1:14" ht="15" customHeight="1">
      <c r="A42" s="538"/>
      <c r="B42" s="537"/>
      <c r="C42" s="523" t="s">
        <v>535</v>
      </c>
      <c r="D42" s="532"/>
      <c r="E42" s="533">
        <f t="shared" si="0"/>
        <v>83789</v>
      </c>
      <c r="F42" s="534">
        <v>66179</v>
      </c>
      <c r="G42" s="534">
        <v>16921</v>
      </c>
      <c r="H42" s="534">
        <v>689</v>
      </c>
      <c r="I42" s="534"/>
      <c r="J42" s="534"/>
      <c r="K42" s="534"/>
      <c r="L42" s="534"/>
      <c r="M42" s="534"/>
      <c r="N42" s="535"/>
    </row>
    <row r="43" spans="1:14" ht="15" customHeight="1">
      <c r="A43" s="538">
        <v>841902</v>
      </c>
      <c r="B43" s="537" t="s">
        <v>79</v>
      </c>
      <c r="C43" s="523" t="s">
        <v>754</v>
      </c>
      <c r="D43" s="532"/>
      <c r="E43" s="533"/>
      <c r="F43" s="534"/>
      <c r="G43" s="534"/>
      <c r="H43" s="534"/>
      <c r="I43" s="534"/>
      <c r="J43" s="534"/>
      <c r="K43" s="534"/>
      <c r="L43" s="534"/>
      <c r="M43" s="534"/>
      <c r="N43" s="535"/>
    </row>
    <row r="44" spans="1:14" ht="15" customHeight="1">
      <c r="A44" s="538"/>
      <c r="B44" s="537"/>
      <c r="C44" s="523" t="s">
        <v>550</v>
      </c>
      <c r="D44" s="532"/>
      <c r="E44" s="533"/>
      <c r="F44" s="534"/>
      <c r="G44" s="534"/>
      <c r="H44" s="534"/>
      <c r="I44" s="534"/>
      <c r="J44" s="534"/>
      <c r="K44" s="534"/>
      <c r="L44" s="534"/>
      <c r="M44" s="534"/>
      <c r="N44" s="535"/>
    </row>
    <row r="45" spans="1:14" ht="15" customHeight="1">
      <c r="A45" s="538"/>
      <c r="B45" s="537"/>
      <c r="C45" s="523" t="s">
        <v>535</v>
      </c>
      <c r="D45" s="532"/>
      <c r="E45" s="533">
        <v>217</v>
      </c>
      <c r="F45" s="534"/>
      <c r="G45" s="534"/>
      <c r="H45" s="534">
        <v>217</v>
      </c>
      <c r="I45" s="534"/>
      <c r="J45" s="534"/>
      <c r="K45" s="534"/>
      <c r="L45" s="534"/>
      <c r="M45" s="534"/>
      <c r="N45" s="535"/>
    </row>
    <row r="46" spans="1:14" ht="15" customHeight="1">
      <c r="A46" s="538">
        <v>855100</v>
      </c>
      <c r="B46" s="537" t="s">
        <v>56</v>
      </c>
      <c r="C46" s="523" t="s">
        <v>754</v>
      </c>
      <c r="D46" s="532"/>
      <c r="E46" s="533">
        <f aca="true" t="shared" si="1" ref="E46:E84">SUM(F46:N46)</f>
        <v>0</v>
      </c>
      <c r="F46" s="534"/>
      <c r="G46" s="534"/>
      <c r="H46" s="534"/>
      <c r="I46" s="534"/>
      <c r="J46" s="534"/>
      <c r="K46" s="534"/>
      <c r="L46" s="534"/>
      <c r="M46" s="534"/>
      <c r="N46" s="535"/>
    </row>
    <row r="47" spans="1:14" ht="15" customHeight="1">
      <c r="A47" s="538"/>
      <c r="B47" s="537"/>
      <c r="C47" s="523" t="s">
        <v>550</v>
      </c>
      <c r="D47" s="532">
        <v>672</v>
      </c>
      <c r="E47" s="533">
        <f t="shared" si="1"/>
        <v>1343</v>
      </c>
      <c r="F47" s="534"/>
      <c r="G47" s="534"/>
      <c r="H47" s="534">
        <v>1343</v>
      </c>
      <c r="I47" s="534"/>
      <c r="J47" s="534"/>
      <c r="K47" s="534"/>
      <c r="L47" s="534"/>
      <c r="M47" s="534"/>
      <c r="N47" s="535"/>
    </row>
    <row r="48" spans="1:14" ht="15" customHeight="1">
      <c r="A48" s="538"/>
      <c r="B48" s="537"/>
      <c r="C48" s="523" t="s">
        <v>535</v>
      </c>
      <c r="D48" s="532">
        <v>672</v>
      </c>
      <c r="E48" s="533">
        <f t="shared" si="1"/>
        <v>1343</v>
      </c>
      <c r="F48" s="534"/>
      <c r="G48" s="534"/>
      <c r="H48" s="534">
        <v>1343</v>
      </c>
      <c r="I48" s="534"/>
      <c r="J48" s="534"/>
      <c r="K48" s="534"/>
      <c r="L48" s="534"/>
      <c r="M48" s="534"/>
      <c r="N48" s="535"/>
    </row>
    <row r="49" spans="1:14" ht="15" customHeight="1">
      <c r="A49" s="538">
        <v>882129</v>
      </c>
      <c r="B49" s="537" t="s">
        <v>57</v>
      </c>
      <c r="C49" s="523" t="s">
        <v>754</v>
      </c>
      <c r="D49" s="532"/>
      <c r="E49" s="533">
        <f t="shared" si="1"/>
        <v>6056</v>
      </c>
      <c r="F49" s="534">
        <v>3696</v>
      </c>
      <c r="G49" s="534">
        <v>1182</v>
      </c>
      <c r="H49" s="534">
        <v>1178</v>
      </c>
      <c r="I49" s="534"/>
      <c r="J49" s="534"/>
      <c r="K49" s="534"/>
      <c r="L49" s="534"/>
      <c r="M49" s="534"/>
      <c r="N49" s="535"/>
    </row>
    <row r="50" spans="1:14" ht="15" customHeight="1">
      <c r="A50" s="538"/>
      <c r="B50" s="537"/>
      <c r="C50" s="523" t="s">
        <v>550</v>
      </c>
      <c r="D50" s="532"/>
      <c r="E50" s="533">
        <f t="shared" si="1"/>
        <v>6056</v>
      </c>
      <c r="F50" s="534">
        <v>4097</v>
      </c>
      <c r="G50" s="534">
        <v>922</v>
      </c>
      <c r="H50" s="534">
        <v>1037</v>
      </c>
      <c r="I50" s="534"/>
      <c r="J50" s="534"/>
      <c r="K50" s="534"/>
      <c r="L50" s="534"/>
      <c r="M50" s="534"/>
      <c r="N50" s="535"/>
    </row>
    <row r="51" spans="1:14" ht="15" customHeight="1">
      <c r="A51" s="538"/>
      <c r="B51" s="537"/>
      <c r="C51" s="523" t="s">
        <v>535</v>
      </c>
      <c r="D51" s="532">
        <v>6</v>
      </c>
      <c r="E51" s="533">
        <f t="shared" si="1"/>
        <v>5988</v>
      </c>
      <c r="F51" s="534">
        <v>4097</v>
      </c>
      <c r="G51" s="534">
        <v>922</v>
      </c>
      <c r="H51" s="534">
        <v>969</v>
      </c>
      <c r="I51" s="534"/>
      <c r="J51" s="534"/>
      <c r="K51" s="534"/>
      <c r="L51" s="534"/>
      <c r="M51" s="534"/>
      <c r="N51" s="535"/>
    </row>
    <row r="52" spans="1:14" ht="15" customHeight="1">
      <c r="A52" s="538">
        <v>889943</v>
      </c>
      <c r="B52" s="537" t="s">
        <v>58</v>
      </c>
      <c r="C52" s="523" t="s">
        <v>754</v>
      </c>
      <c r="D52" s="532">
        <v>1500</v>
      </c>
      <c r="E52" s="533">
        <f t="shared" si="1"/>
        <v>1500</v>
      </c>
      <c r="F52" s="534"/>
      <c r="G52" s="534"/>
      <c r="H52" s="534"/>
      <c r="I52" s="534"/>
      <c r="J52" s="534"/>
      <c r="K52" s="534"/>
      <c r="L52" s="534"/>
      <c r="M52" s="534">
        <v>1500</v>
      </c>
      <c r="N52" s="535"/>
    </row>
    <row r="53" spans="1:14" ht="15" customHeight="1">
      <c r="A53" s="538"/>
      <c r="B53" s="537"/>
      <c r="C53" s="523" t="s">
        <v>550</v>
      </c>
      <c r="D53" s="532">
        <v>1500</v>
      </c>
      <c r="E53" s="533">
        <f t="shared" si="1"/>
        <v>1600</v>
      </c>
      <c r="F53" s="534"/>
      <c r="G53" s="534"/>
      <c r="H53" s="534"/>
      <c r="I53" s="534"/>
      <c r="J53" s="534"/>
      <c r="K53" s="534"/>
      <c r="L53" s="534"/>
      <c r="M53" s="534">
        <v>1600</v>
      </c>
      <c r="N53" s="535"/>
    </row>
    <row r="54" spans="1:14" ht="15" customHeight="1">
      <c r="A54" s="538"/>
      <c r="B54" s="537"/>
      <c r="C54" s="523" t="s">
        <v>535</v>
      </c>
      <c r="D54" s="532">
        <v>1624</v>
      </c>
      <c r="E54" s="533">
        <f t="shared" si="1"/>
        <v>1000</v>
      </c>
      <c r="F54" s="534"/>
      <c r="G54" s="534"/>
      <c r="H54" s="534"/>
      <c r="I54" s="534"/>
      <c r="J54" s="534"/>
      <c r="K54" s="534"/>
      <c r="L54" s="534"/>
      <c r="M54" s="534">
        <v>1000</v>
      </c>
      <c r="N54" s="535"/>
    </row>
    <row r="55" spans="1:14" s="543" customFormat="1" ht="15" customHeight="1">
      <c r="A55" s="538">
        <v>882111</v>
      </c>
      <c r="B55" s="537" t="s">
        <v>59</v>
      </c>
      <c r="C55" s="523" t="s">
        <v>754</v>
      </c>
      <c r="D55" s="532">
        <v>0</v>
      </c>
      <c r="E55" s="533">
        <f t="shared" si="1"/>
        <v>0</v>
      </c>
      <c r="F55" s="540"/>
      <c r="G55" s="540"/>
      <c r="H55" s="540"/>
      <c r="I55" s="540"/>
      <c r="J55" s="540">
        <v>0</v>
      </c>
      <c r="K55" s="540"/>
      <c r="L55" s="540"/>
      <c r="M55" s="541"/>
      <c r="N55" s="542"/>
    </row>
    <row r="56" spans="1:14" s="544" customFormat="1" ht="15" customHeight="1">
      <c r="A56" s="538"/>
      <c r="B56" s="537"/>
      <c r="C56" s="523" t="s">
        <v>550</v>
      </c>
      <c r="D56" s="532"/>
      <c r="E56" s="533">
        <f t="shared" si="1"/>
        <v>55391</v>
      </c>
      <c r="F56" s="540"/>
      <c r="G56" s="540"/>
      <c r="H56" s="540"/>
      <c r="I56" s="540"/>
      <c r="J56" s="540">
        <v>55391</v>
      </c>
      <c r="K56" s="540"/>
      <c r="L56" s="540"/>
      <c r="M56" s="541"/>
      <c r="N56" s="542"/>
    </row>
    <row r="57" spans="1:14" s="544" customFormat="1" ht="15" customHeight="1">
      <c r="A57" s="538"/>
      <c r="B57" s="537"/>
      <c r="C57" s="523" t="s">
        <v>535</v>
      </c>
      <c r="D57" s="532"/>
      <c r="E57" s="533">
        <f t="shared" si="1"/>
        <v>55287</v>
      </c>
      <c r="F57" s="540"/>
      <c r="G57" s="540"/>
      <c r="H57" s="540">
        <v>81</v>
      </c>
      <c r="I57" s="540"/>
      <c r="J57" s="540">
        <v>55206</v>
      </c>
      <c r="K57" s="540"/>
      <c r="L57" s="540"/>
      <c r="M57" s="541"/>
      <c r="N57" s="542"/>
    </row>
    <row r="58" spans="1:14" s="543" customFormat="1" ht="15" customHeight="1">
      <c r="A58" s="538">
        <v>882112</v>
      </c>
      <c r="B58" s="537" t="s">
        <v>60</v>
      </c>
      <c r="C58" s="523" t="s">
        <v>754</v>
      </c>
      <c r="D58" s="532">
        <v>0</v>
      </c>
      <c r="E58" s="533">
        <f t="shared" si="1"/>
        <v>0</v>
      </c>
      <c r="F58" s="540"/>
      <c r="G58" s="540"/>
      <c r="H58" s="540"/>
      <c r="I58" s="540"/>
      <c r="J58" s="540">
        <v>0</v>
      </c>
      <c r="K58" s="540"/>
      <c r="L58" s="540"/>
      <c r="M58" s="540"/>
      <c r="N58" s="542"/>
    </row>
    <row r="59" spans="1:14" s="543" customFormat="1" ht="15" customHeight="1">
      <c r="A59" s="538"/>
      <c r="B59" s="537"/>
      <c r="C59" s="523" t="s">
        <v>550</v>
      </c>
      <c r="D59" s="532"/>
      <c r="E59" s="533">
        <f t="shared" si="1"/>
        <v>757</v>
      </c>
      <c r="F59" s="540"/>
      <c r="G59" s="540"/>
      <c r="H59" s="540"/>
      <c r="I59" s="540"/>
      <c r="J59" s="540">
        <v>757</v>
      </c>
      <c r="K59" s="540"/>
      <c r="L59" s="540"/>
      <c r="M59" s="540"/>
      <c r="N59" s="542"/>
    </row>
    <row r="60" spans="1:14" s="543" customFormat="1" ht="15" customHeight="1">
      <c r="A60" s="538"/>
      <c r="B60" s="537"/>
      <c r="C60" s="523" t="s">
        <v>535</v>
      </c>
      <c r="D60" s="532"/>
      <c r="E60" s="533">
        <f t="shared" si="1"/>
        <v>659</v>
      </c>
      <c r="F60" s="540"/>
      <c r="G60" s="540"/>
      <c r="H60" s="540"/>
      <c r="I60" s="540"/>
      <c r="J60" s="540">
        <v>659</v>
      </c>
      <c r="K60" s="540"/>
      <c r="L60" s="540"/>
      <c r="M60" s="540"/>
      <c r="N60" s="542"/>
    </row>
    <row r="61" spans="1:14" s="543" customFormat="1" ht="15" customHeight="1">
      <c r="A61" s="538">
        <v>882113</v>
      </c>
      <c r="B61" s="537" t="s">
        <v>61</v>
      </c>
      <c r="C61" s="523" t="s">
        <v>754</v>
      </c>
      <c r="D61" s="532">
        <v>0</v>
      </c>
      <c r="E61" s="533">
        <f t="shared" si="1"/>
        <v>0</v>
      </c>
      <c r="F61" s="540"/>
      <c r="G61" s="540"/>
      <c r="H61" s="540"/>
      <c r="I61" s="540"/>
      <c r="J61" s="540">
        <v>0</v>
      </c>
      <c r="K61" s="540"/>
      <c r="L61" s="540"/>
      <c r="M61" s="540"/>
      <c r="N61" s="542"/>
    </row>
    <row r="62" spans="1:14" s="543" customFormat="1" ht="15" customHeight="1">
      <c r="A62" s="538"/>
      <c r="B62" s="537"/>
      <c r="C62" s="523" t="s">
        <v>550</v>
      </c>
      <c r="D62" s="532"/>
      <c r="E62" s="533">
        <f t="shared" si="1"/>
        <v>20351</v>
      </c>
      <c r="F62" s="540"/>
      <c r="G62" s="540"/>
      <c r="H62" s="540"/>
      <c r="I62" s="540"/>
      <c r="J62" s="540">
        <v>20351</v>
      </c>
      <c r="K62" s="540"/>
      <c r="L62" s="540"/>
      <c r="M62" s="540"/>
      <c r="N62" s="542"/>
    </row>
    <row r="63" spans="1:14" s="543" customFormat="1" ht="15" customHeight="1">
      <c r="A63" s="538"/>
      <c r="B63" s="537"/>
      <c r="C63" s="523" t="s">
        <v>535</v>
      </c>
      <c r="D63" s="532"/>
      <c r="E63" s="533">
        <f t="shared" si="1"/>
        <v>20324</v>
      </c>
      <c r="F63" s="540"/>
      <c r="G63" s="540"/>
      <c r="H63" s="540"/>
      <c r="I63" s="540"/>
      <c r="J63" s="540">
        <v>20324</v>
      </c>
      <c r="K63" s="540"/>
      <c r="L63" s="540"/>
      <c r="M63" s="540"/>
      <c r="N63" s="542"/>
    </row>
    <row r="64" spans="1:14" s="543" customFormat="1" ht="15" customHeight="1">
      <c r="A64" s="538">
        <v>882115</v>
      </c>
      <c r="B64" s="537" t="s">
        <v>62</v>
      </c>
      <c r="C64" s="523" t="s">
        <v>754</v>
      </c>
      <c r="D64" s="532">
        <v>0</v>
      </c>
      <c r="E64" s="533">
        <f t="shared" si="1"/>
        <v>0</v>
      </c>
      <c r="F64" s="540"/>
      <c r="G64" s="540">
        <v>0</v>
      </c>
      <c r="H64" s="540"/>
      <c r="I64" s="540"/>
      <c r="J64" s="540">
        <v>0</v>
      </c>
      <c r="K64" s="540"/>
      <c r="L64" s="540"/>
      <c r="M64" s="540"/>
      <c r="N64" s="542"/>
    </row>
    <row r="65" spans="1:14" s="543" customFormat="1" ht="15" customHeight="1">
      <c r="A65" s="538"/>
      <c r="B65" s="537"/>
      <c r="C65" s="523" t="s">
        <v>550</v>
      </c>
      <c r="D65" s="532"/>
      <c r="E65" s="533">
        <f t="shared" si="1"/>
        <v>25545</v>
      </c>
      <c r="F65" s="540"/>
      <c r="G65" s="540">
        <v>452</v>
      </c>
      <c r="H65" s="540"/>
      <c r="I65" s="540"/>
      <c r="J65" s="540">
        <v>25093</v>
      </c>
      <c r="K65" s="540"/>
      <c r="L65" s="540"/>
      <c r="M65" s="540"/>
      <c r="N65" s="542"/>
    </row>
    <row r="66" spans="1:14" s="543" customFormat="1" ht="15" customHeight="1">
      <c r="A66" s="538"/>
      <c r="B66" s="537"/>
      <c r="C66" s="523" t="s">
        <v>535</v>
      </c>
      <c r="D66" s="532"/>
      <c r="E66" s="533">
        <f t="shared" si="1"/>
        <v>22876</v>
      </c>
      <c r="F66" s="540"/>
      <c r="G66" s="540">
        <v>452</v>
      </c>
      <c r="H66" s="540">
        <v>17</v>
      </c>
      <c r="I66" s="540"/>
      <c r="J66" s="540">
        <v>22407</v>
      </c>
      <c r="K66" s="540"/>
      <c r="L66" s="540"/>
      <c r="M66" s="540"/>
      <c r="N66" s="542"/>
    </row>
    <row r="67" spans="1:14" s="543" customFormat="1" ht="15" customHeight="1">
      <c r="A67" s="538">
        <v>882117</v>
      </c>
      <c r="B67" s="537" t="s">
        <v>63</v>
      </c>
      <c r="C67" s="523" t="s">
        <v>754</v>
      </c>
      <c r="D67" s="532">
        <v>0</v>
      </c>
      <c r="E67" s="533">
        <f t="shared" si="1"/>
        <v>0</v>
      </c>
      <c r="F67" s="540"/>
      <c r="G67" s="540"/>
      <c r="H67" s="540"/>
      <c r="I67" s="540"/>
      <c r="J67" s="540">
        <v>0</v>
      </c>
      <c r="K67" s="540"/>
      <c r="L67" s="540"/>
      <c r="M67" s="540"/>
      <c r="N67" s="542"/>
    </row>
    <row r="68" spans="1:14" s="543" customFormat="1" ht="15" customHeight="1">
      <c r="A68" s="538"/>
      <c r="B68" s="537"/>
      <c r="C68" s="523" t="s">
        <v>550</v>
      </c>
      <c r="D68" s="532"/>
      <c r="E68" s="533">
        <f t="shared" si="1"/>
        <v>8549</v>
      </c>
      <c r="F68" s="540"/>
      <c r="G68" s="540"/>
      <c r="H68" s="540"/>
      <c r="I68" s="540"/>
      <c r="J68" s="540">
        <v>8549</v>
      </c>
      <c r="K68" s="540"/>
      <c r="L68" s="540"/>
      <c r="M68" s="540"/>
      <c r="N68" s="542"/>
    </row>
    <row r="69" spans="1:14" s="543" customFormat="1" ht="15" customHeight="1">
      <c r="A69" s="538"/>
      <c r="B69" s="537"/>
      <c r="C69" s="523" t="s">
        <v>535</v>
      </c>
      <c r="D69" s="532"/>
      <c r="E69" s="533">
        <f t="shared" si="1"/>
        <v>8058</v>
      </c>
      <c r="F69" s="540"/>
      <c r="G69" s="540"/>
      <c r="H69" s="540">
        <v>7</v>
      </c>
      <c r="I69" s="540"/>
      <c r="J69" s="540">
        <v>8051</v>
      </c>
      <c r="K69" s="540"/>
      <c r="L69" s="540"/>
      <c r="M69" s="540"/>
      <c r="N69" s="542"/>
    </row>
    <row r="70" spans="1:14" s="543" customFormat="1" ht="15" customHeight="1">
      <c r="A70" s="538">
        <v>882119</v>
      </c>
      <c r="B70" s="537" t="s">
        <v>64</v>
      </c>
      <c r="C70" s="523" t="s">
        <v>754</v>
      </c>
      <c r="D70" s="532">
        <v>0</v>
      </c>
      <c r="E70" s="533">
        <f t="shared" si="1"/>
        <v>0</v>
      </c>
      <c r="F70" s="540"/>
      <c r="G70" s="540"/>
      <c r="H70" s="540"/>
      <c r="I70" s="540"/>
      <c r="J70" s="540">
        <v>0</v>
      </c>
      <c r="K70" s="540"/>
      <c r="L70" s="540"/>
      <c r="M70" s="540"/>
      <c r="N70" s="542"/>
    </row>
    <row r="71" spans="1:14" s="543" customFormat="1" ht="15" customHeight="1">
      <c r="A71" s="538"/>
      <c r="B71" s="537"/>
      <c r="C71" s="523" t="s">
        <v>550</v>
      </c>
      <c r="D71" s="532"/>
      <c r="E71" s="533">
        <f t="shared" si="1"/>
        <v>10</v>
      </c>
      <c r="F71" s="540"/>
      <c r="G71" s="540"/>
      <c r="H71" s="540"/>
      <c r="I71" s="540"/>
      <c r="J71" s="540">
        <v>10</v>
      </c>
      <c r="K71" s="540"/>
      <c r="L71" s="540"/>
      <c r="M71" s="540"/>
      <c r="N71" s="542"/>
    </row>
    <row r="72" spans="1:14" s="543" customFormat="1" ht="15" customHeight="1">
      <c r="A72" s="538"/>
      <c r="B72" s="537"/>
      <c r="C72" s="523" t="s">
        <v>535</v>
      </c>
      <c r="D72" s="532"/>
      <c r="E72" s="533">
        <f t="shared" si="1"/>
        <v>10</v>
      </c>
      <c r="F72" s="540"/>
      <c r="G72" s="540"/>
      <c r="H72" s="540"/>
      <c r="I72" s="540"/>
      <c r="J72" s="540">
        <v>10</v>
      </c>
      <c r="K72" s="540"/>
      <c r="L72" s="540"/>
      <c r="M72" s="540"/>
      <c r="N72" s="542"/>
    </row>
    <row r="73" spans="1:14" s="543" customFormat="1" ht="15" customHeight="1">
      <c r="A73" s="538">
        <v>882201</v>
      </c>
      <c r="B73" s="537" t="s">
        <v>65</v>
      </c>
      <c r="C73" s="523" t="s">
        <v>754</v>
      </c>
      <c r="D73" s="532">
        <v>0</v>
      </c>
      <c r="E73" s="533">
        <f t="shared" si="1"/>
        <v>0</v>
      </c>
      <c r="F73" s="540"/>
      <c r="G73" s="540"/>
      <c r="H73" s="540"/>
      <c r="I73" s="540"/>
      <c r="J73" s="540">
        <v>0</v>
      </c>
      <c r="K73" s="540"/>
      <c r="L73" s="540"/>
      <c r="M73" s="540"/>
      <c r="N73" s="542"/>
    </row>
    <row r="74" spans="1:14" s="543" customFormat="1" ht="15" customHeight="1">
      <c r="A74" s="538"/>
      <c r="B74" s="537"/>
      <c r="C74" s="523" t="s">
        <v>550</v>
      </c>
      <c r="D74" s="532"/>
      <c r="E74" s="533">
        <f t="shared" si="1"/>
        <v>4987</v>
      </c>
      <c r="F74" s="540"/>
      <c r="G74" s="540"/>
      <c r="H74" s="540"/>
      <c r="I74" s="540"/>
      <c r="J74" s="540">
        <v>4987</v>
      </c>
      <c r="K74" s="540"/>
      <c r="L74" s="540"/>
      <c r="M74" s="540"/>
      <c r="N74" s="542"/>
    </row>
    <row r="75" spans="1:14" s="543" customFormat="1" ht="15" customHeight="1">
      <c r="A75" s="538"/>
      <c r="B75" s="537"/>
      <c r="C75" s="523" t="s">
        <v>535</v>
      </c>
      <c r="D75" s="532"/>
      <c r="E75" s="533">
        <f t="shared" si="1"/>
        <v>4472</v>
      </c>
      <c r="F75" s="540"/>
      <c r="G75" s="540"/>
      <c r="H75" s="540"/>
      <c r="I75" s="540"/>
      <c r="J75" s="540">
        <v>4472</v>
      </c>
      <c r="K75" s="540"/>
      <c r="L75" s="540"/>
      <c r="M75" s="540"/>
      <c r="N75" s="542"/>
    </row>
    <row r="76" spans="1:14" s="543" customFormat="1" ht="15" customHeight="1">
      <c r="A76" s="538">
        <v>882125</v>
      </c>
      <c r="B76" s="537" t="s">
        <v>1032</v>
      </c>
      <c r="C76" s="523" t="s">
        <v>754</v>
      </c>
      <c r="D76" s="532">
        <v>0</v>
      </c>
      <c r="E76" s="533">
        <f t="shared" si="1"/>
        <v>0</v>
      </c>
      <c r="F76" s="540"/>
      <c r="G76" s="540"/>
      <c r="H76" s="540"/>
      <c r="I76" s="540"/>
      <c r="J76" s="540">
        <v>0</v>
      </c>
      <c r="K76" s="540"/>
      <c r="L76" s="540"/>
      <c r="M76" s="540"/>
      <c r="N76" s="542"/>
    </row>
    <row r="77" spans="1:14" s="543" customFormat="1" ht="15" customHeight="1">
      <c r="A77" s="538"/>
      <c r="B77" s="537"/>
      <c r="C77" s="523" t="s">
        <v>550</v>
      </c>
      <c r="D77" s="532"/>
      <c r="E77" s="533">
        <f t="shared" si="1"/>
        <v>1500</v>
      </c>
      <c r="F77" s="540"/>
      <c r="G77" s="540"/>
      <c r="H77" s="540"/>
      <c r="I77" s="540"/>
      <c r="J77" s="540">
        <v>1500</v>
      </c>
      <c r="K77" s="540"/>
      <c r="L77" s="540"/>
      <c r="M77" s="540"/>
      <c r="N77" s="542"/>
    </row>
    <row r="78" spans="1:14" s="543" customFormat="1" ht="15" customHeight="1">
      <c r="A78" s="538"/>
      <c r="B78" s="537"/>
      <c r="C78" s="523" t="s">
        <v>535</v>
      </c>
      <c r="D78" s="532"/>
      <c r="E78" s="533">
        <f t="shared" si="1"/>
        <v>367</v>
      </c>
      <c r="F78" s="540"/>
      <c r="G78" s="540"/>
      <c r="H78" s="540">
        <v>10</v>
      </c>
      <c r="I78" s="540"/>
      <c r="J78" s="540">
        <v>357</v>
      </c>
      <c r="K78" s="540"/>
      <c r="L78" s="540"/>
      <c r="M78" s="540"/>
      <c r="N78" s="542"/>
    </row>
    <row r="79" spans="1:14" s="543" customFormat="1" ht="15" customHeight="1">
      <c r="A79" s="538">
        <v>889926</v>
      </c>
      <c r="B79" s="537" t="s">
        <v>66</v>
      </c>
      <c r="C79" s="523" t="s">
        <v>754</v>
      </c>
      <c r="D79" s="532"/>
      <c r="E79" s="533">
        <f t="shared" si="1"/>
        <v>0</v>
      </c>
      <c r="F79" s="540"/>
      <c r="G79" s="540"/>
      <c r="H79" s="540"/>
      <c r="I79" s="540"/>
      <c r="J79" s="540"/>
      <c r="K79" s="540"/>
      <c r="L79" s="540"/>
      <c r="M79" s="540"/>
      <c r="N79" s="542"/>
    </row>
    <row r="80" spans="1:14" s="543" customFormat="1" ht="15" customHeight="1">
      <c r="A80" s="538"/>
      <c r="B80" s="537"/>
      <c r="C80" s="523" t="s">
        <v>550</v>
      </c>
      <c r="D80" s="532"/>
      <c r="E80" s="533">
        <f t="shared" si="1"/>
        <v>9762</v>
      </c>
      <c r="F80" s="540"/>
      <c r="G80" s="540"/>
      <c r="H80" s="540">
        <v>9762</v>
      </c>
      <c r="I80" s="540"/>
      <c r="J80" s="540"/>
      <c r="K80" s="540"/>
      <c r="L80" s="540"/>
      <c r="M80" s="540"/>
      <c r="N80" s="542"/>
    </row>
    <row r="81" spans="1:14" s="543" customFormat="1" ht="15" customHeight="1">
      <c r="A81" s="538"/>
      <c r="B81" s="537"/>
      <c r="C81" s="523" t="s">
        <v>535</v>
      </c>
      <c r="D81" s="532"/>
      <c r="E81" s="533">
        <f t="shared" si="1"/>
        <v>9762</v>
      </c>
      <c r="F81" s="540"/>
      <c r="G81" s="540"/>
      <c r="H81" s="540">
        <v>9762</v>
      </c>
      <c r="I81" s="540"/>
      <c r="J81" s="540"/>
      <c r="K81" s="540"/>
      <c r="L81" s="540"/>
      <c r="M81" s="540"/>
      <c r="N81" s="542"/>
    </row>
    <row r="82" spans="1:14" s="543" customFormat="1" ht="15" customHeight="1">
      <c r="A82" s="538">
        <v>889935</v>
      </c>
      <c r="B82" s="537" t="s">
        <v>1035</v>
      </c>
      <c r="C82" s="523" t="s">
        <v>754</v>
      </c>
      <c r="D82" s="532"/>
      <c r="E82" s="533">
        <f t="shared" si="1"/>
        <v>0</v>
      </c>
      <c r="F82" s="540"/>
      <c r="G82" s="540"/>
      <c r="H82" s="540"/>
      <c r="I82" s="540"/>
      <c r="J82" s="540"/>
      <c r="K82" s="540"/>
      <c r="L82" s="540"/>
      <c r="M82" s="540"/>
      <c r="N82" s="542"/>
    </row>
    <row r="83" spans="1:14" s="543" customFormat="1" ht="15" customHeight="1">
      <c r="A83" s="538"/>
      <c r="B83" s="537"/>
      <c r="C83" s="523" t="s">
        <v>550</v>
      </c>
      <c r="D83" s="532"/>
      <c r="E83" s="533">
        <f t="shared" si="1"/>
        <v>5918</v>
      </c>
      <c r="F83" s="540"/>
      <c r="G83" s="540"/>
      <c r="H83" s="540"/>
      <c r="I83" s="540"/>
      <c r="J83" s="540">
        <v>5918</v>
      </c>
      <c r="K83" s="540"/>
      <c r="L83" s="540"/>
      <c r="M83" s="540"/>
      <c r="N83" s="542"/>
    </row>
    <row r="84" spans="1:14" s="543" customFormat="1" ht="15" customHeight="1">
      <c r="A84" s="538"/>
      <c r="B84" s="537"/>
      <c r="C84" s="523" t="s">
        <v>535</v>
      </c>
      <c r="D84" s="532"/>
      <c r="E84" s="533">
        <f t="shared" si="1"/>
        <v>5917</v>
      </c>
      <c r="F84" s="540"/>
      <c r="G84" s="540"/>
      <c r="H84" s="540"/>
      <c r="I84" s="540"/>
      <c r="J84" s="540">
        <v>5917</v>
      </c>
      <c r="K84" s="540"/>
      <c r="L84" s="540"/>
      <c r="M84" s="540"/>
      <c r="N84" s="542"/>
    </row>
    <row r="85" spans="1:14" s="543" customFormat="1" ht="15" customHeight="1">
      <c r="A85" s="538">
        <v>890216</v>
      </c>
      <c r="B85" s="537" t="s">
        <v>67</v>
      </c>
      <c r="C85" s="523" t="s">
        <v>754</v>
      </c>
      <c r="D85" s="532"/>
      <c r="E85" s="533"/>
      <c r="F85" s="540"/>
      <c r="G85" s="540"/>
      <c r="H85" s="540"/>
      <c r="I85" s="540"/>
      <c r="J85" s="540"/>
      <c r="K85" s="540"/>
      <c r="L85" s="540"/>
      <c r="M85" s="540"/>
      <c r="N85" s="542"/>
    </row>
    <row r="86" spans="1:14" s="543" customFormat="1" ht="15" customHeight="1">
      <c r="A86" s="538"/>
      <c r="B86" s="537"/>
      <c r="C86" s="523" t="s">
        <v>550</v>
      </c>
      <c r="D86" s="532"/>
      <c r="E86" s="533">
        <f>SUM(F86:H86)</f>
        <v>927</v>
      </c>
      <c r="F86" s="540"/>
      <c r="G86" s="540">
        <v>582</v>
      </c>
      <c r="H86" s="540">
        <v>345</v>
      </c>
      <c r="I86" s="540"/>
      <c r="J86" s="540"/>
      <c r="K86" s="540"/>
      <c r="L86" s="540"/>
      <c r="M86" s="540"/>
      <c r="N86" s="542"/>
    </row>
    <row r="87" spans="1:14" s="543" customFormat="1" ht="15" customHeight="1">
      <c r="A87" s="538"/>
      <c r="B87" s="537"/>
      <c r="C87" s="523" t="s">
        <v>535</v>
      </c>
      <c r="D87" s="532"/>
      <c r="E87" s="533">
        <f>SUM(F87:H87)</f>
        <v>927</v>
      </c>
      <c r="F87" s="540"/>
      <c r="G87" s="540">
        <v>582</v>
      </c>
      <c r="H87" s="540">
        <v>345</v>
      </c>
      <c r="I87" s="540"/>
      <c r="J87" s="540"/>
      <c r="K87" s="540"/>
      <c r="L87" s="540"/>
      <c r="M87" s="540"/>
      <c r="N87" s="542"/>
    </row>
    <row r="88" spans="1:14" s="543" customFormat="1" ht="15" customHeight="1">
      <c r="A88" s="538">
        <v>931903</v>
      </c>
      <c r="B88" s="537" t="s">
        <v>68</v>
      </c>
      <c r="C88" s="523" t="s">
        <v>754</v>
      </c>
      <c r="D88" s="532"/>
      <c r="E88" s="533"/>
      <c r="F88" s="540"/>
      <c r="G88" s="540"/>
      <c r="H88" s="540"/>
      <c r="I88" s="540"/>
      <c r="J88" s="540"/>
      <c r="K88" s="540"/>
      <c r="L88" s="540"/>
      <c r="M88" s="540"/>
      <c r="N88" s="542"/>
    </row>
    <row r="89" spans="1:14" s="543" customFormat="1" ht="15" customHeight="1">
      <c r="A89" s="538"/>
      <c r="B89" s="537"/>
      <c r="C89" s="523" t="s">
        <v>550</v>
      </c>
      <c r="D89" s="532"/>
      <c r="E89" s="533">
        <f>SUM(F89:H89)</f>
        <v>207</v>
      </c>
      <c r="F89" s="540"/>
      <c r="G89" s="540">
        <v>130</v>
      </c>
      <c r="H89" s="540">
        <v>77</v>
      </c>
      <c r="I89" s="540"/>
      <c r="J89" s="540"/>
      <c r="K89" s="540"/>
      <c r="L89" s="540"/>
      <c r="M89" s="540"/>
      <c r="N89" s="542"/>
    </row>
    <row r="90" spans="1:14" s="543" customFormat="1" ht="15" customHeight="1">
      <c r="A90" s="538"/>
      <c r="B90" s="537"/>
      <c r="C90" s="523" t="s">
        <v>535</v>
      </c>
      <c r="D90" s="532"/>
      <c r="E90" s="533">
        <f>SUM(F90:H90)</f>
        <v>207</v>
      </c>
      <c r="F90" s="540"/>
      <c r="G90" s="540">
        <v>130</v>
      </c>
      <c r="H90" s="540">
        <v>77</v>
      </c>
      <c r="I90" s="540"/>
      <c r="J90" s="540"/>
      <c r="K90" s="540"/>
      <c r="L90" s="540"/>
      <c r="M90" s="540"/>
      <c r="N90" s="542"/>
    </row>
    <row r="91" spans="1:14" s="543" customFormat="1" ht="15" customHeight="1">
      <c r="A91" s="538">
        <v>932911</v>
      </c>
      <c r="B91" s="537" t="s">
        <v>69</v>
      </c>
      <c r="C91" s="523" t="s">
        <v>754</v>
      </c>
      <c r="D91" s="532"/>
      <c r="E91" s="533">
        <f>SUM(F91:N91)</f>
        <v>0</v>
      </c>
      <c r="F91" s="540"/>
      <c r="G91" s="540"/>
      <c r="H91" s="540"/>
      <c r="I91" s="540"/>
      <c r="J91" s="540"/>
      <c r="K91" s="540"/>
      <c r="L91" s="540"/>
      <c r="M91" s="540"/>
      <c r="N91" s="542"/>
    </row>
    <row r="92" spans="1:14" s="543" customFormat="1" ht="15" customHeight="1">
      <c r="A92" s="538"/>
      <c r="B92" s="537"/>
      <c r="C92" s="523" t="s">
        <v>550</v>
      </c>
      <c r="D92" s="532"/>
      <c r="E92" s="533">
        <f>SUM(F92:N92)</f>
        <v>3688</v>
      </c>
      <c r="F92" s="540"/>
      <c r="G92" s="540"/>
      <c r="H92" s="540">
        <v>3688</v>
      </c>
      <c r="I92" s="540"/>
      <c r="J92" s="540"/>
      <c r="K92" s="540"/>
      <c r="L92" s="540"/>
      <c r="M92" s="540"/>
      <c r="N92" s="542"/>
    </row>
    <row r="93" spans="1:14" s="543" customFormat="1" ht="15" customHeight="1">
      <c r="A93" s="538"/>
      <c r="B93" s="537"/>
      <c r="C93" s="523" t="s">
        <v>535</v>
      </c>
      <c r="D93" s="532"/>
      <c r="E93" s="533">
        <f>SUM(F93:N93)</f>
        <v>3688</v>
      </c>
      <c r="F93" s="540"/>
      <c r="G93" s="540"/>
      <c r="H93" s="540">
        <v>3688</v>
      </c>
      <c r="I93" s="540"/>
      <c r="J93" s="540"/>
      <c r="K93" s="540"/>
      <c r="L93" s="540"/>
      <c r="M93" s="540"/>
      <c r="N93" s="542"/>
    </row>
    <row r="94" spans="1:14" s="543" customFormat="1" ht="15" customHeight="1">
      <c r="A94" s="538">
        <v>960302</v>
      </c>
      <c r="B94" s="537" t="s">
        <v>70</v>
      </c>
      <c r="C94" s="523" t="s">
        <v>754</v>
      </c>
      <c r="D94" s="532"/>
      <c r="E94" s="533">
        <f>SUM(F94:N94)</f>
        <v>0</v>
      </c>
      <c r="F94" s="540"/>
      <c r="G94" s="540"/>
      <c r="H94" s="540"/>
      <c r="I94" s="540"/>
      <c r="J94" s="540"/>
      <c r="K94" s="540"/>
      <c r="L94" s="540"/>
      <c r="M94" s="540"/>
      <c r="N94" s="542"/>
    </row>
    <row r="95" spans="1:14" s="543" customFormat="1" ht="15" customHeight="1">
      <c r="A95" s="538"/>
      <c r="B95" s="537"/>
      <c r="C95" s="523" t="s">
        <v>550</v>
      </c>
      <c r="D95" s="532">
        <v>267</v>
      </c>
      <c r="E95" s="533"/>
      <c r="F95" s="540"/>
      <c r="G95" s="540"/>
      <c r="H95" s="540"/>
      <c r="I95" s="540"/>
      <c r="J95" s="540"/>
      <c r="K95" s="540"/>
      <c r="L95" s="540"/>
      <c r="M95" s="540"/>
      <c r="N95" s="542"/>
    </row>
    <row r="96" spans="1:14" s="543" customFormat="1" ht="15" customHeight="1">
      <c r="A96" s="538"/>
      <c r="B96" s="537"/>
      <c r="C96" s="523" t="s">
        <v>535</v>
      </c>
      <c r="D96" s="532">
        <v>267</v>
      </c>
      <c r="E96" s="533"/>
      <c r="F96" s="540"/>
      <c r="G96" s="540"/>
      <c r="H96" s="540"/>
      <c r="I96" s="540"/>
      <c r="J96" s="540"/>
      <c r="K96" s="540"/>
      <c r="L96" s="540"/>
      <c r="M96" s="540"/>
      <c r="N96" s="542"/>
    </row>
    <row r="97" spans="1:14" ht="15" customHeight="1">
      <c r="A97" s="538">
        <v>960900</v>
      </c>
      <c r="B97" s="537" t="s">
        <v>71</v>
      </c>
      <c r="C97" s="523" t="s">
        <v>754</v>
      </c>
      <c r="D97" s="532">
        <v>3000</v>
      </c>
      <c r="E97" s="533">
        <f>SUM(F97:N97)</f>
        <v>3914</v>
      </c>
      <c r="F97" s="534">
        <v>1600</v>
      </c>
      <c r="G97" s="534">
        <v>587</v>
      </c>
      <c r="H97" s="534">
        <v>1727</v>
      </c>
      <c r="I97" s="534"/>
      <c r="J97" s="532"/>
      <c r="K97" s="532"/>
      <c r="L97" s="534"/>
      <c r="M97" s="534"/>
      <c r="N97" s="535"/>
    </row>
    <row r="98" spans="1:14" ht="15" customHeight="1">
      <c r="A98" s="538"/>
      <c r="B98" s="537"/>
      <c r="C98" s="523" t="s">
        <v>550</v>
      </c>
      <c r="D98" s="533">
        <v>4250</v>
      </c>
      <c r="E98" s="533">
        <f>SUM(F98:N98)</f>
        <v>5187</v>
      </c>
      <c r="F98" s="534">
        <v>1600</v>
      </c>
      <c r="G98" s="534">
        <v>587</v>
      </c>
      <c r="H98" s="534">
        <v>3000</v>
      </c>
      <c r="I98" s="534"/>
      <c r="J98" s="532"/>
      <c r="K98" s="545"/>
      <c r="L98" s="534"/>
      <c r="M98" s="534"/>
      <c r="N98" s="535"/>
    </row>
    <row r="99" spans="1:14" ht="15" customHeight="1">
      <c r="A99" s="538"/>
      <c r="B99" s="537"/>
      <c r="C99" s="523" t="s">
        <v>535</v>
      </c>
      <c r="D99" s="533">
        <v>4431</v>
      </c>
      <c r="E99" s="533">
        <f>SUM(F99:N99)</f>
        <v>2898</v>
      </c>
      <c r="F99" s="534">
        <v>482</v>
      </c>
      <c r="G99" s="534">
        <v>473</v>
      </c>
      <c r="H99" s="534">
        <v>1943</v>
      </c>
      <c r="I99" s="534"/>
      <c r="J99" s="532"/>
      <c r="K99" s="545"/>
      <c r="L99" s="534"/>
      <c r="M99" s="534"/>
      <c r="N99" s="535"/>
    </row>
    <row r="100" spans="1:14" ht="15" customHeight="1">
      <c r="A100" s="1403" t="s">
        <v>1095</v>
      </c>
      <c r="B100" s="1404"/>
      <c r="C100" s="546" t="s">
        <v>754</v>
      </c>
      <c r="D100" s="532">
        <f>SUM(D13,D28,D52,D97)</f>
        <v>28740</v>
      </c>
      <c r="E100" s="533">
        <f aca="true" t="shared" si="2" ref="E100:N100">SUM(E13,E19,E22,E25,E28,E31,E40,E49,E52,E55,E58,E61,E64,E67,E70,E73,E76,E97)</f>
        <v>603639</v>
      </c>
      <c r="F100" s="532">
        <f t="shared" si="2"/>
        <v>350844</v>
      </c>
      <c r="G100" s="532">
        <f t="shared" si="2"/>
        <v>92453</v>
      </c>
      <c r="H100" s="532">
        <f t="shared" si="2"/>
        <v>158842</v>
      </c>
      <c r="I100" s="532">
        <f t="shared" si="2"/>
        <v>0</v>
      </c>
      <c r="J100" s="532">
        <f t="shared" si="2"/>
        <v>0</v>
      </c>
      <c r="K100" s="532">
        <f t="shared" si="2"/>
        <v>0</v>
      </c>
      <c r="L100" s="532">
        <f t="shared" si="2"/>
        <v>0</v>
      </c>
      <c r="M100" s="532">
        <f t="shared" si="2"/>
        <v>1500</v>
      </c>
      <c r="N100" s="547">
        <f t="shared" si="2"/>
        <v>0</v>
      </c>
    </row>
    <row r="101" spans="1:14" ht="12.75">
      <c r="A101" s="1407" t="s">
        <v>1095</v>
      </c>
      <c r="B101" s="1408"/>
      <c r="C101" s="548" t="s">
        <v>550</v>
      </c>
      <c r="D101" s="549">
        <f>SUM(D14+D17+D29+D35+D47+D53+D95+D98)</f>
        <v>517272</v>
      </c>
      <c r="E101" s="550">
        <f aca="true" t="shared" si="3" ref="E101:N101">SUM(E11+E14+E17+E20+E23+E26+E29+E32+E35+E38+E41+E47+E50+E53+E56+E59+E62+E65+E68+E71+E74+E77+E80+E83+E86+E89+E92+E95+E98)</f>
        <v>1235409</v>
      </c>
      <c r="F101" s="550">
        <f t="shared" si="3"/>
        <v>364920</v>
      </c>
      <c r="G101" s="550">
        <f t="shared" si="3"/>
        <v>96330</v>
      </c>
      <c r="H101" s="550">
        <f t="shared" si="3"/>
        <v>179312</v>
      </c>
      <c r="I101" s="550">
        <f t="shared" si="3"/>
        <v>451507</v>
      </c>
      <c r="J101" s="550">
        <f t="shared" si="3"/>
        <v>122556</v>
      </c>
      <c r="K101" s="550">
        <f t="shared" si="3"/>
        <v>0</v>
      </c>
      <c r="L101" s="550">
        <f t="shared" si="3"/>
        <v>19184</v>
      </c>
      <c r="M101" s="550">
        <f t="shared" si="3"/>
        <v>1600</v>
      </c>
      <c r="N101" s="551">
        <f t="shared" si="3"/>
        <v>0</v>
      </c>
    </row>
    <row r="102" spans="1:14" ht="13.5" thickBot="1">
      <c r="A102" s="1405" t="s">
        <v>1095</v>
      </c>
      <c r="B102" s="1406"/>
      <c r="C102" s="552" t="s">
        <v>535</v>
      </c>
      <c r="D102" s="592">
        <f>SUM(D15+D18+D30+D36+D48+D51+D54+D96+D99)</f>
        <v>1021340</v>
      </c>
      <c r="E102" s="568">
        <f>SUM(E12+E15+E18+E21+E24+E27+E30+E33+E36+E39+E42+E48+E51+E54+E57+E60+E63+E66+E69+E72+E75+E78+E81+E84+E87+E90+E93+E99+E45)</f>
        <v>1196882</v>
      </c>
      <c r="F102" s="568">
        <f>SUM(F27+F30+F33+F42+F51+F99)</f>
        <v>350967</v>
      </c>
      <c r="G102" s="568">
        <f>SUM(G27+G30+G33+G42+G51+G66+G87+G90+G99)</f>
        <v>93888</v>
      </c>
      <c r="H102" s="568">
        <f>SUM(H12+H15+H18+H21+H24+H27+H30+H33+H36+H39+H42+H45+H48+H51+H57+H66+H69+H78+H81+H87+H90+H93+H99)</f>
        <v>150933</v>
      </c>
      <c r="I102" s="568">
        <f>SUM(I30)</f>
        <v>463507</v>
      </c>
      <c r="J102" s="568">
        <f>SUM(J57+J60+J63+J66+J69+J72+J75+J78+J84)</f>
        <v>117403</v>
      </c>
      <c r="K102" s="553"/>
      <c r="L102" s="568">
        <f>SUM(L30+L36)</f>
        <v>19184</v>
      </c>
      <c r="M102" s="568">
        <f>SUM(M54)</f>
        <v>1000</v>
      </c>
      <c r="N102" s="554"/>
    </row>
    <row r="104" spans="1:14" ht="14.25">
      <c r="A104" s="1389" t="s">
        <v>72</v>
      </c>
      <c r="B104" s="1389"/>
      <c r="C104" s="1389"/>
      <c r="D104" s="1389"/>
      <c r="E104" s="1389"/>
      <c r="F104" s="1389"/>
      <c r="G104" s="1389"/>
      <c r="H104" s="1389"/>
      <c r="I104" s="1389"/>
      <c r="J104" s="1389"/>
      <c r="K104" s="1389"/>
      <c r="L104" s="1389"/>
      <c r="M104" s="1389"/>
      <c r="N104" s="1389"/>
    </row>
    <row r="105" spans="1:14" ht="15">
      <c r="A105" s="1390"/>
      <c r="B105" s="1390"/>
      <c r="C105" s="1390"/>
      <c r="D105" s="1390"/>
      <c r="E105" s="1390"/>
      <c r="F105" s="1390"/>
      <c r="G105" s="1390"/>
      <c r="H105" s="1390"/>
      <c r="I105" s="1390"/>
      <c r="J105" s="1390"/>
      <c r="K105" s="1390"/>
      <c r="L105" s="1390"/>
      <c r="M105" s="1390"/>
      <c r="N105" s="1390"/>
    </row>
    <row r="106" spans="12:14" ht="13.5" thickBot="1">
      <c r="L106" s="510"/>
      <c r="M106" s="513"/>
      <c r="N106" s="513" t="s">
        <v>30</v>
      </c>
    </row>
    <row r="107" spans="1:14" ht="13.5" thickBot="1">
      <c r="A107" s="1391" t="s">
        <v>873</v>
      </c>
      <c r="B107" s="1392"/>
      <c r="C107" s="1392"/>
      <c r="D107" s="1397" t="s">
        <v>31</v>
      </c>
      <c r="E107" s="1400" t="s">
        <v>32</v>
      </c>
      <c r="F107" s="1374" t="s">
        <v>822</v>
      </c>
      <c r="G107" s="1374"/>
      <c r="H107" s="1374"/>
      <c r="I107" s="1374"/>
      <c r="J107" s="1374"/>
      <c r="K107" s="1374" t="s">
        <v>823</v>
      </c>
      <c r="L107" s="1374"/>
      <c r="M107" s="1380" t="s">
        <v>33</v>
      </c>
      <c r="N107" s="1375" t="s">
        <v>34</v>
      </c>
    </row>
    <row r="108" spans="1:14" ht="14.25" thickBot="1" thickTop="1">
      <c r="A108" s="1393"/>
      <c r="B108" s="1394"/>
      <c r="C108" s="1394"/>
      <c r="D108" s="1398"/>
      <c r="E108" s="1401"/>
      <c r="F108" s="1370" t="s">
        <v>35</v>
      </c>
      <c r="G108" s="1370" t="s">
        <v>36</v>
      </c>
      <c r="H108" s="1370" t="s">
        <v>37</v>
      </c>
      <c r="I108" s="1370" t="s">
        <v>73</v>
      </c>
      <c r="J108" s="1370" t="s">
        <v>39</v>
      </c>
      <c r="K108" s="1378" t="s">
        <v>765</v>
      </c>
      <c r="L108" s="1378" t="s">
        <v>762</v>
      </c>
      <c r="M108" s="1381"/>
      <c r="N108" s="1376"/>
    </row>
    <row r="109" spans="1:14" ht="40.5" customHeight="1" thickBot="1" thickTop="1">
      <c r="A109" s="1395"/>
      <c r="B109" s="1396"/>
      <c r="C109" s="1396"/>
      <c r="D109" s="1399"/>
      <c r="E109" s="1402"/>
      <c r="F109" s="1371"/>
      <c r="G109" s="1371"/>
      <c r="H109" s="1371"/>
      <c r="I109" s="1371"/>
      <c r="J109" s="1371"/>
      <c r="K109" s="1379"/>
      <c r="L109" s="1379"/>
      <c r="M109" s="1382"/>
      <c r="N109" s="1377"/>
    </row>
    <row r="110" spans="1:14" ht="15" customHeight="1">
      <c r="A110" s="555">
        <v>842421</v>
      </c>
      <c r="B110" s="556" t="s">
        <v>74</v>
      </c>
      <c r="C110" s="557" t="s">
        <v>754</v>
      </c>
      <c r="D110" s="558">
        <v>3000</v>
      </c>
      <c r="E110" s="558">
        <f>SUM(F110:N110)</f>
        <v>16864</v>
      </c>
      <c r="F110" s="558">
        <v>9970</v>
      </c>
      <c r="G110" s="558">
        <v>2719</v>
      </c>
      <c r="H110" s="558">
        <v>4175</v>
      </c>
      <c r="I110" s="558"/>
      <c r="J110" s="558"/>
      <c r="K110" s="558"/>
      <c r="L110" s="558"/>
      <c r="M110" s="558"/>
      <c r="N110" s="559"/>
    </row>
    <row r="111" spans="1:14" ht="15" customHeight="1">
      <c r="A111" s="538"/>
      <c r="B111" s="560"/>
      <c r="C111" s="561" t="s">
        <v>75</v>
      </c>
      <c r="D111" s="534">
        <v>3027</v>
      </c>
      <c r="E111" s="534">
        <v>17258</v>
      </c>
      <c r="F111" s="534">
        <v>10023</v>
      </c>
      <c r="G111" s="534">
        <v>2733</v>
      </c>
      <c r="H111" s="534">
        <v>4502</v>
      </c>
      <c r="I111" s="534"/>
      <c r="J111" s="534"/>
      <c r="K111" s="534"/>
      <c r="L111" s="534"/>
      <c r="M111" s="534"/>
      <c r="N111" s="535"/>
    </row>
    <row r="112" spans="1:14" ht="15" customHeight="1">
      <c r="A112" s="538"/>
      <c r="B112" s="560"/>
      <c r="C112" s="561" t="s">
        <v>76</v>
      </c>
      <c r="D112" s="534">
        <v>2027</v>
      </c>
      <c r="E112" s="534">
        <v>17337</v>
      </c>
      <c r="F112" s="534">
        <v>10085</v>
      </c>
      <c r="G112" s="534">
        <v>2750</v>
      </c>
      <c r="H112" s="534">
        <v>4502</v>
      </c>
      <c r="I112" s="534"/>
      <c r="J112" s="534"/>
      <c r="K112" s="534"/>
      <c r="L112" s="534"/>
      <c r="M112" s="534"/>
      <c r="N112" s="535"/>
    </row>
    <row r="113" spans="1:14" ht="15" customHeight="1">
      <c r="A113" s="1403" t="s">
        <v>1095</v>
      </c>
      <c r="B113" s="1410"/>
      <c r="C113" s="562" t="s">
        <v>754</v>
      </c>
      <c r="D113" s="532">
        <v>3000</v>
      </c>
      <c r="E113" s="532">
        <v>16874</v>
      </c>
      <c r="F113" s="563">
        <v>9970</v>
      </c>
      <c r="G113" s="563">
        <v>2719</v>
      </c>
      <c r="H113" s="563">
        <v>4175</v>
      </c>
      <c r="I113" s="563">
        <f>SUM(I109:I109)</f>
        <v>0</v>
      </c>
      <c r="J113" s="563">
        <f>SUM(J109:J109)</f>
        <v>0</v>
      </c>
      <c r="K113" s="563">
        <f>SUM(K109:K109)</f>
        <v>0</v>
      </c>
      <c r="L113" s="563">
        <f>SUM(L109:L109)</f>
        <v>0</v>
      </c>
      <c r="M113" s="563">
        <f>SUM(M109:M109)</f>
        <v>0</v>
      </c>
      <c r="N113" s="564" t="s">
        <v>77</v>
      </c>
    </row>
    <row r="114" spans="1:14" ht="15" customHeight="1">
      <c r="A114" s="1403" t="s">
        <v>1095</v>
      </c>
      <c r="B114" s="1410"/>
      <c r="C114" s="565" t="s">
        <v>75</v>
      </c>
      <c r="D114" s="532">
        <v>3027</v>
      </c>
      <c r="E114" s="532">
        <v>17258</v>
      </c>
      <c r="F114" s="563">
        <v>10023</v>
      </c>
      <c r="G114" s="563">
        <v>2733</v>
      </c>
      <c r="H114" s="563">
        <v>4502</v>
      </c>
      <c r="I114" s="563"/>
      <c r="J114" s="563"/>
      <c r="K114" s="563"/>
      <c r="L114" s="563"/>
      <c r="M114" s="563"/>
      <c r="N114" s="564"/>
    </row>
    <row r="115" spans="1:14" ht="13.5" thickBot="1">
      <c r="A115" s="1405" t="s">
        <v>1095</v>
      </c>
      <c r="B115" s="1409"/>
      <c r="C115" s="566" t="s">
        <v>76</v>
      </c>
      <c r="D115" s="567">
        <v>2027</v>
      </c>
      <c r="E115" s="568">
        <v>17337</v>
      </c>
      <c r="F115" s="567">
        <v>1085</v>
      </c>
      <c r="G115" s="567">
        <v>2750</v>
      </c>
      <c r="H115" s="567">
        <v>4502</v>
      </c>
      <c r="I115" s="569"/>
      <c r="J115" s="569"/>
      <c r="K115" s="569"/>
      <c r="L115" s="569"/>
      <c r="M115" s="569"/>
      <c r="N115" s="570"/>
    </row>
    <row r="116" spans="6:14" ht="12.75">
      <c r="F116" s="507"/>
      <c r="G116" s="507"/>
      <c r="H116" s="507"/>
      <c r="I116" s="507"/>
      <c r="J116" s="507"/>
      <c r="K116" s="507"/>
      <c r="L116" s="507"/>
      <c r="M116" s="511"/>
      <c r="N116" s="507"/>
    </row>
    <row r="117" spans="6:14" ht="12.75">
      <c r="F117" s="507"/>
      <c r="G117" s="507"/>
      <c r="H117" s="507"/>
      <c r="I117" s="507"/>
      <c r="J117" s="507"/>
      <c r="K117" s="507"/>
      <c r="L117" s="507"/>
      <c r="M117" s="511"/>
      <c r="N117" s="507"/>
    </row>
    <row r="118" spans="6:14" ht="12.75">
      <c r="F118" s="507"/>
      <c r="G118" s="507"/>
      <c r="H118" s="507"/>
      <c r="I118" s="507"/>
      <c r="J118" s="507"/>
      <c r="K118" s="507"/>
      <c r="L118" s="507"/>
      <c r="M118" s="511"/>
      <c r="N118" s="507"/>
    </row>
    <row r="119" spans="6:14" ht="12.75">
      <c r="F119" s="507"/>
      <c r="G119" s="507"/>
      <c r="H119" s="507"/>
      <c r="I119" s="507"/>
      <c r="J119" s="507"/>
      <c r="K119" s="507"/>
      <c r="L119" s="507"/>
      <c r="M119" s="511"/>
      <c r="N119" s="507"/>
    </row>
    <row r="120" spans="6:14" ht="12.75">
      <c r="F120" s="507"/>
      <c r="G120" s="507"/>
      <c r="H120" s="507"/>
      <c r="I120" s="507"/>
      <c r="J120" s="507"/>
      <c r="K120" s="507"/>
      <c r="L120" s="507"/>
      <c r="M120" s="511"/>
      <c r="N120" s="507"/>
    </row>
    <row r="121" spans="6:14" ht="12.75">
      <c r="F121" s="507"/>
      <c r="G121" s="507"/>
      <c r="H121" s="507"/>
      <c r="I121" s="507"/>
      <c r="J121" s="507"/>
      <c r="K121" s="507"/>
      <c r="L121" s="507"/>
      <c r="M121" s="511"/>
      <c r="N121" s="507"/>
    </row>
    <row r="122" spans="6:14" ht="12.75">
      <c r="F122" s="507"/>
      <c r="G122" s="507"/>
      <c r="H122" s="507"/>
      <c r="I122" s="507"/>
      <c r="J122" s="507"/>
      <c r="K122" s="507"/>
      <c r="L122" s="507"/>
      <c r="M122" s="511"/>
      <c r="N122" s="507"/>
    </row>
    <row r="123" spans="6:14" ht="12.75">
      <c r="F123" s="507"/>
      <c r="G123" s="507"/>
      <c r="H123" s="507"/>
      <c r="I123" s="507"/>
      <c r="J123" s="507"/>
      <c r="K123" s="507"/>
      <c r="L123" s="507"/>
      <c r="M123" s="511"/>
      <c r="N123" s="507"/>
    </row>
    <row r="124" spans="6:14" ht="12.75">
      <c r="F124" s="507"/>
      <c r="G124" s="507"/>
      <c r="H124" s="507"/>
      <c r="I124" s="507"/>
      <c r="J124" s="507"/>
      <c r="K124" s="507"/>
      <c r="L124" s="507"/>
      <c r="M124" s="511"/>
      <c r="N124" s="507"/>
    </row>
    <row r="125" spans="6:14" ht="12.75">
      <c r="F125" s="507"/>
      <c r="G125" s="507"/>
      <c r="H125" s="507"/>
      <c r="I125" s="507"/>
      <c r="J125" s="507"/>
      <c r="K125" s="507"/>
      <c r="L125" s="507"/>
      <c r="M125" s="511"/>
      <c r="N125" s="507"/>
    </row>
    <row r="126" spans="6:14" ht="12.75">
      <c r="F126" s="507"/>
      <c r="G126" s="507"/>
      <c r="H126" s="507"/>
      <c r="I126" s="507"/>
      <c r="J126" s="507"/>
      <c r="K126" s="507"/>
      <c r="L126" s="507"/>
      <c r="M126" s="511"/>
      <c r="N126" s="507"/>
    </row>
    <row r="127" spans="6:14" ht="12.75">
      <c r="F127" s="507"/>
      <c r="G127" s="507"/>
      <c r="H127" s="507"/>
      <c r="I127" s="507"/>
      <c r="J127" s="507"/>
      <c r="K127" s="507"/>
      <c r="L127" s="507"/>
      <c r="M127" s="511"/>
      <c r="N127" s="507"/>
    </row>
    <row r="128" spans="6:14" ht="12.75">
      <c r="F128" s="507"/>
      <c r="G128" s="507"/>
      <c r="H128" s="507"/>
      <c r="I128" s="507"/>
      <c r="J128" s="507"/>
      <c r="K128" s="507"/>
      <c r="L128" s="507"/>
      <c r="M128" s="511"/>
      <c r="N128" s="507"/>
    </row>
    <row r="129" spans="6:14" ht="12.75">
      <c r="F129" s="507"/>
      <c r="G129" s="507"/>
      <c r="H129" s="507"/>
      <c r="I129" s="507"/>
      <c r="J129" s="507"/>
      <c r="K129" s="507"/>
      <c r="L129" s="507"/>
      <c r="M129" s="511"/>
      <c r="N129" s="507"/>
    </row>
    <row r="130" spans="6:14" ht="12.75">
      <c r="F130" s="507"/>
      <c r="G130" s="507"/>
      <c r="H130" s="507"/>
      <c r="I130" s="507"/>
      <c r="J130" s="507"/>
      <c r="K130" s="507"/>
      <c r="L130" s="507"/>
      <c r="M130" s="511"/>
      <c r="N130" s="507"/>
    </row>
    <row r="131" spans="6:14" ht="12.75">
      <c r="F131" s="507"/>
      <c r="G131" s="507"/>
      <c r="H131" s="507"/>
      <c r="I131" s="507"/>
      <c r="J131" s="507"/>
      <c r="K131" s="507"/>
      <c r="L131" s="507"/>
      <c r="M131" s="511"/>
      <c r="N131" s="507"/>
    </row>
    <row r="132" spans="6:14" ht="12.75">
      <c r="F132" s="507"/>
      <c r="G132" s="507"/>
      <c r="H132" s="507"/>
      <c r="I132" s="507"/>
      <c r="J132" s="507"/>
      <c r="K132" s="507"/>
      <c r="L132" s="507"/>
      <c r="M132" s="511"/>
      <c r="N132" s="507"/>
    </row>
    <row r="133" spans="6:14" ht="12.75">
      <c r="F133" s="507"/>
      <c r="G133" s="507"/>
      <c r="H133" s="507"/>
      <c r="I133" s="507"/>
      <c r="J133" s="507"/>
      <c r="K133" s="507"/>
      <c r="L133" s="507"/>
      <c r="M133" s="511"/>
      <c r="N133" s="507"/>
    </row>
    <row r="134" spans="6:14" ht="12.75">
      <c r="F134" s="507"/>
      <c r="G134" s="507"/>
      <c r="H134" s="507"/>
      <c r="I134" s="507"/>
      <c r="J134" s="507"/>
      <c r="K134" s="507"/>
      <c r="L134" s="507"/>
      <c r="M134" s="511"/>
      <c r="N134" s="507"/>
    </row>
    <row r="135" spans="6:14" ht="12.75">
      <c r="F135" s="507"/>
      <c r="G135" s="507"/>
      <c r="H135" s="507"/>
      <c r="I135" s="507"/>
      <c r="J135" s="507"/>
      <c r="K135" s="507"/>
      <c r="L135" s="507"/>
      <c r="M135" s="511"/>
      <c r="N135" s="507"/>
    </row>
    <row r="136" spans="6:14" ht="12.75">
      <c r="F136" s="507"/>
      <c r="G136" s="507"/>
      <c r="H136" s="507"/>
      <c r="I136" s="507"/>
      <c r="J136" s="507"/>
      <c r="K136" s="507"/>
      <c r="L136" s="507"/>
      <c r="M136" s="511"/>
      <c r="N136" s="507"/>
    </row>
    <row r="137" spans="6:14" ht="12.75">
      <c r="F137" s="507"/>
      <c r="G137" s="507"/>
      <c r="H137" s="507"/>
      <c r="I137" s="507"/>
      <c r="J137" s="507"/>
      <c r="K137" s="507"/>
      <c r="L137" s="507"/>
      <c r="M137" s="511"/>
      <c r="N137" s="507"/>
    </row>
    <row r="138" spans="6:14" ht="12.75">
      <c r="F138" s="507"/>
      <c r="G138" s="507"/>
      <c r="H138" s="507"/>
      <c r="I138" s="507"/>
      <c r="J138" s="507"/>
      <c r="K138" s="507"/>
      <c r="L138" s="507"/>
      <c r="M138" s="511"/>
      <c r="N138" s="507"/>
    </row>
    <row r="139" spans="6:14" ht="12.75">
      <c r="F139" s="507"/>
      <c r="G139" s="507"/>
      <c r="H139" s="507"/>
      <c r="I139" s="507"/>
      <c r="J139" s="507"/>
      <c r="K139" s="507"/>
      <c r="L139" s="507"/>
      <c r="M139" s="511"/>
      <c r="N139" s="507"/>
    </row>
    <row r="140" spans="6:14" ht="12.75">
      <c r="F140" s="507"/>
      <c r="G140" s="507"/>
      <c r="H140" s="507"/>
      <c r="I140" s="507"/>
      <c r="J140" s="507"/>
      <c r="K140" s="507"/>
      <c r="L140" s="507"/>
      <c r="M140" s="511"/>
      <c r="N140" s="507"/>
    </row>
    <row r="141" spans="6:14" ht="12.75">
      <c r="F141" s="507"/>
      <c r="G141" s="507"/>
      <c r="H141" s="507"/>
      <c r="I141" s="507"/>
      <c r="J141" s="507"/>
      <c r="K141" s="507"/>
      <c r="L141" s="507"/>
      <c r="M141" s="511"/>
      <c r="N141" s="507"/>
    </row>
    <row r="142" spans="6:14" ht="12.75">
      <c r="F142" s="507"/>
      <c r="G142" s="507"/>
      <c r="H142" s="507"/>
      <c r="I142" s="507"/>
      <c r="J142" s="507"/>
      <c r="K142" s="507"/>
      <c r="L142" s="507"/>
      <c r="M142" s="511"/>
      <c r="N142" s="507"/>
    </row>
    <row r="143" spans="6:14" ht="12.75">
      <c r="F143" s="507"/>
      <c r="G143" s="507"/>
      <c r="H143" s="507"/>
      <c r="I143" s="507"/>
      <c r="J143" s="507"/>
      <c r="K143" s="507"/>
      <c r="L143" s="507"/>
      <c r="M143" s="511"/>
      <c r="N143" s="507"/>
    </row>
    <row r="144" spans="6:14" ht="12.75">
      <c r="F144" s="507"/>
      <c r="G144" s="507"/>
      <c r="H144" s="507"/>
      <c r="I144" s="507"/>
      <c r="J144" s="507"/>
      <c r="K144" s="507"/>
      <c r="L144" s="507"/>
      <c r="M144" s="511"/>
      <c r="N144" s="507"/>
    </row>
  </sheetData>
  <mergeCells count="39">
    <mergeCell ref="A115:B115"/>
    <mergeCell ref="L108:L109"/>
    <mergeCell ref="A113:B113"/>
    <mergeCell ref="A114:B114"/>
    <mergeCell ref="H108:H109"/>
    <mergeCell ref="I108:I109"/>
    <mergeCell ref="J108:J109"/>
    <mergeCell ref="K108:K109"/>
    <mergeCell ref="A105:N105"/>
    <mergeCell ref="A107:C109"/>
    <mergeCell ref="D107:D109"/>
    <mergeCell ref="E107:E109"/>
    <mergeCell ref="F107:J107"/>
    <mergeCell ref="K107:L107"/>
    <mergeCell ref="M107:M109"/>
    <mergeCell ref="N107:N109"/>
    <mergeCell ref="F108:F109"/>
    <mergeCell ref="G108:G109"/>
    <mergeCell ref="A100:B100"/>
    <mergeCell ref="A102:B102"/>
    <mergeCell ref="A104:N104"/>
    <mergeCell ref="A101:B101"/>
    <mergeCell ref="A2:B2"/>
    <mergeCell ref="A4:N4"/>
    <mergeCell ref="A5:N5"/>
    <mergeCell ref="A7:C9"/>
    <mergeCell ref="D7:D9"/>
    <mergeCell ref="E7:E9"/>
    <mergeCell ref="F7:J7"/>
    <mergeCell ref="K7:L7"/>
    <mergeCell ref="M7:M9"/>
    <mergeCell ref="N7:N9"/>
    <mergeCell ref="L8:L9"/>
    <mergeCell ref="F8:F9"/>
    <mergeCell ref="G8:G9"/>
    <mergeCell ref="H8:H9"/>
    <mergeCell ref="I8:I9"/>
    <mergeCell ref="J8:J9"/>
    <mergeCell ref="K8:K9"/>
  </mergeCells>
  <printOptions horizontalCentered="1"/>
  <pageMargins left="0.3937007874015748" right="0.3937007874015748" top="0.7086614173228347" bottom="0.4724409448818898" header="0.52" footer="0.4724409448818898"/>
  <pageSetup horizontalDpi="600" verticalDpi="600" orientation="landscape" paperSize="9" scale="63" r:id="rId1"/>
  <headerFooter alignWithMargins="0">
    <oddHeader>&amp;L&amp;8 5.2 melléklet a 14/2013. (V.2.) önkormányzati rendelethez
</oddHeader>
  </headerFooter>
  <rowBreaks count="1" manualBreakCount="1">
    <brk id="51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3:N14"/>
  <sheetViews>
    <sheetView view="pageBreakPreview" zoomScaleSheetLayoutView="100" workbookViewId="0" topLeftCell="A1">
      <selection activeCell="E11" sqref="E11"/>
    </sheetView>
  </sheetViews>
  <sheetFormatPr defaultColWidth="9.00390625" defaultRowHeight="12.75"/>
  <cols>
    <col min="2" max="2" width="44.125" style="0" customWidth="1"/>
    <col min="3" max="3" width="15.00390625" style="0" customWidth="1"/>
  </cols>
  <sheetData>
    <row r="3" spans="1:14" s="508" customFormat="1" ht="14.25">
      <c r="A3" s="1389" t="s">
        <v>72</v>
      </c>
      <c r="B3" s="1389"/>
      <c r="C3" s="1389"/>
      <c r="D3" s="1389"/>
      <c r="E3" s="1389"/>
      <c r="F3" s="1389"/>
      <c r="G3" s="1389"/>
      <c r="H3" s="1389"/>
      <c r="I3" s="1389"/>
      <c r="J3" s="1389"/>
      <c r="K3" s="1389"/>
      <c r="L3" s="1389"/>
      <c r="M3" s="1389"/>
      <c r="N3" s="1389"/>
    </row>
    <row r="4" spans="1:14" s="508" customFormat="1" ht="15">
      <c r="A4" s="1390"/>
      <c r="B4" s="1390"/>
      <c r="C4" s="1390"/>
      <c r="D4" s="1390"/>
      <c r="E4" s="1390"/>
      <c r="F4" s="1390"/>
      <c r="G4" s="1390"/>
      <c r="H4" s="1390"/>
      <c r="I4" s="1390"/>
      <c r="J4" s="1390"/>
      <c r="K4" s="1390"/>
      <c r="L4" s="1390"/>
      <c r="M4" s="1390"/>
      <c r="N4" s="1390"/>
    </row>
    <row r="5" spans="1:14" s="508" customFormat="1" ht="13.5" thickBot="1">
      <c r="A5" s="507"/>
      <c r="C5" s="509"/>
      <c r="D5" s="510"/>
      <c r="L5" s="510"/>
      <c r="M5" s="513"/>
      <c r="N5" s="513" t="s">
        <v>30</v>
      </c>
    </row>
    <row r="6" spans="1:14" s="571" customFormat="1" ht="12.75" thickBot="1">
      <c r="A6" s="1424" t="s">
        <v>873</v>
      </c>
      <c r="B6" s="1425"/>
      <c r="C6" s="1425"/>
      <c r="D6" s="1430" t="s">
        <v>31</v>
      </c>
      <c r="E6" s="1433" t="s">
        <v>32</v>
      </c>
      <c r="F6" s="1436" t="s">
        <v>822</v>
      </c>
      <c r="G6" s="1436"/>
      <c r="H6" s="1436"/>
      <c r="I6" s="1436"/>
      <c r="J6" s="1436"/>
      <c r="K6" s="1436" t="s">
        <v>823</v>
      </c>
      <c r="L6" s="1436"/>
      <c r="M6" s="1437" t="s">
        <v>33</v>
      </c>
      <c r="N6" s="1415" t="s">
        <v>34</v>
      </c>
    </row>
    <row r="7" spans="1:14" s="571" customFormat="1" ht="13.5" thickBot="1" thickTop="1">
      <c r="A7" s="1426"/>
      <c r="B7" s="1427"/>
      <c r="C7" s="1427"/>
      <c r="D7" s="1431"/>
      <c r="E7" s="1434"/>
      <c r="F7" s="1413" t="s">
        <v>35</v>
      </c>
      <c r="G7" s="1413" t="s">
        <v>36</v>
      </c>
      <c r="H7" s="1413" t="s">
        <v>37</v>
      </c>
      <c r="I7" s="1413" t="s">
        <v>73</v>
      </c>
      <c r="J7" s="1413" t="s">
        <v>39</v>
      </c>
      <c r="K7" s="1418" t="s">
        <v>765</v>
      </c>
      <c r="L7" s="1418" t="s">
        <v>762</v>
      </c>
      <c r="M7" s="1438"/>
      <c r="N7" s="1416"/>
    </row>
    <row r="8" spans="1:14" s="571" customFormat="1" ht="40.5" customHeight="1" thickBot="1" thickTop="1">
      <c r="A8" s="1428"/>
      <c r="B8" s="1429"/>
      <c r="C8" s="1429"/>
      <c r="D8" s="1432"/>
      <c r="E8" s="1435"/>
      <c r="F8" s="1414"/>
      <c r="G8" s="1414"/>
      <c r="H8" s="1414"/>
      <c r="I8" s="1414"/>
      <c r="J8" s="1414"/>
      <c r="K8" s="1419"/>
      <c r="L8" s="1419"/>
      <c r="M8" s="1439"/>
      <c r="N8" s="1417"/>
    </row>
    <row r="9" spans="1:14" s="571" customFormat="1" ht="15" customHeight="1">
      <c r="A9" s="572">
        <v>842421</v>
      </c>
      <c r="B9" s="573" t="s">
        <v>74</v>
      </c>
      <c r="C9" s="574" t="s">
        <v>754</v>
      </c>
      <c r="D9" s="575">
        <v>3000</v>
      </c>
      <c r="E9" s="575">
        <f>SUM(F9:N9)</f>
        <v>16864</v>
      </c>
      <c r="F9" s="575">
        <v>9970</v>
      </c>
      <c r="G9" s="575">
        <v>2719</v>
      </c>
      <c r="H9" s="575">
        <v>4175</v>
      </c>
      <c r="I9" s="575"/>
      <c r="J9" s="575"/>
      <c r="K9" s="575"/>
      <c r="L9" s="575"/>
      <c r="M9" s="575"/>
      <c r="N9" s="576"/>
    </row>
    <row r="10" spans="1:14" s="571" customFormat="1" ht="15" customHeight="1">
      <c r="A10" s="577"/>
      <c r="B10" s="578"/>
      <c r="C10" s="579" t="s">
        <v>550</v>
      </c>
      <c r="D10" s="580">
        <v>2027</v>
      </c>
      <c r="E10" s="580">
        <v>17337</v>
      </c>
      <c r="F10" s="580">
        <v>10085</v>
      </c>
      <c r="G10" s="580">
        <v>2750</v>
      </c>
      <c r="H10" s="580">
        <v>4502</v>
      </c>
      <c r="I10" s="580"/>
      <c r="J10" s="580"/>
      <c r="K10" s="580"/>
      <c r="L10" s="580"/>
      <c r="M10" s="580"/>
      <c r="N10" s="581"/>
    </row>
    <row r="11" spans="1:14" s="571" customFormat="1" ht="15" customHeight="1">
      <c r="A11" s="577"/>
      <c r="B11" s="578"/>
      <c r="C11" s="579" t="s">
        <v>78</v>
      </c>
      <c r="D11" s="580">
        <v>2367</v>
      </c>
      <c r="E11" s="580">
        <v>13773</v>
      </c>
      <c r="F11" s="580">
        <v>9380</v>
      </c>
      <c r="G11" s="580">
        <v>2326</v>
      </c>
      <c r="H11" s="580">
        <v>2040</v>
      </c>
      <c r="I11" s="580">
        <v>32</v>
      </c>
      <c r="J11" s="580"/>
      <c r="K11" s="580"/>
      <c r="L11" s="580"/>
      <c r="M11" s="580"/>
      <c r="N11" s="581"/>
    </row>
    <row r="12" spans="1:14" s="571" customFormat="1" ht="15" customHeight="1">
      <c r="A12" s="1411" t="s">
        <v>1095</v>
      </c>
      <c r="B12" s="1412"/>
      <c r="C12" s="565" t="s">
        <v>754</v>
      </c>
      <c r="D12" s="582">
        <v>3000</v>
      </c>
      <c r="E12" s="582">
        <v>16864</v>
      </c>
      <c r="F12" s="583">
        <v>9970</v>
      </c>
      <c r="G12" s="583">
        <v>2719</v>
      </c>
      <c r="H12" s="583">
        <v>4175</v>
      </c>
      <c r="I12" s="583">
        <f>SUM(I8:I8)</f>
        <v>0</v>
      </c>
      <c r="J12" s="583">
        <f>SUM(J8:J8)</f>
        <v>0</v>
      </c>
      <c r="K12" s="583">
        <f>SUM(K8:K8)</f>
        <v>0</v>
      </c>
      <c r="L12" s="583">
        <f>SUM(L8:L8)</f>
        <v>0</v>
      </c>
      <c r="M12" s="583">
        <f>SUM(M8:M8)</f>
        <v>0</v>
      </c>
      <c r="N12" s="584" t="s">
        <v>77</v>
      </c>
    </row>
    <row r="13" spans="1:14" ht="12.75">
      <c r="A13" s="1422" t="s">
        <v>1095</v>
      </c>
      <c r="B13" s="1423"/>
      <c r="C13" s="585" t="s">
        <v>550</v>
      </c>
      <c r="D13" s="586">
        <v>2027</v>
      </c>
      <c r="E13" s="586">
        <v>17337</v>
      </c>
      <c r="F13" s="586">
        <v>10085</v>
      </c>
      <c r="G13" s="586">
        <v>2750</v>
      </c>
      <c r="H13" s="586">
        <v>4502</v>
      </c>
      <c r="I13" s="587"/>
      <c r="J13" s="587"/>
      <c r="K13" s="587"/>
      <c r="L13" s="587"/>
      <c r="M13" s="587"/>
      <c r="N13" s="588"/>
    </row>
    <row r="14" spans="1:14" ht="13.5" thickBot="1">
      <c r="A14" s="1420" t="s">
        <v>1095</v>
      </c>
      <c r="B14" s="1421"/>
      <c r="C14" s="589" t="s">
        <v>535</v>
      </c>
      <c r="D14" s="593">
        <v>2367</v>
      </c>
      <c r="E14" s="593">
        <v>13773</v>
      </c>
      <c r="F14" s="593">
        <v>9380</v>
      </c>
      <c r="G14" s="593">
        <v>2326</v>
      </c>
      <c r="H14" s="593">
        <v>2040</v>
      </c>
      <c r="I14" s="593">
        <v>32</v>
      </c>
      <c r="J14" s="590"/>
      <c r="K14" s="590"/>
      <c r="L14" s="590"/>
      <c r="M14" s="590"/>
      <c r="N14" s="591"/>
    </row>
  </sheetData>
  <mergeCells count="19">
    <mergeCell ref="A14:B14"/>
    <mergeCell ref="A13:B13"/>
    <mergeCell ref="A3:N3"/>
    <mergeCell ref="A4:N4"/>
    <mergeCell ref="A6:C8"/>
    <mergeCell ref="D6:D8"/>
    <mergeCell ref="E6:E8"/>
    <mergeCell ref="F6:J6"/>
    <mergeCell ref="K6:L6"/>
    <mergeCell ref="M6:M8"/>
    <mergeCell ref="N6:N8"/>
    <mergeCell ref="F7:F8"/>
    <mergeCell ref="K7:K8"/>
    <mergeCell ref="L7:L8"/>
    <mergeCell ref="J7:J8"/>
    <mergeCell ref="A12:B12"/>
    <mergeCell ref="G7:G8"/>
    <mergeCell ref="H7:H8"/>
    <mergeCell ref="I7:I8"/>
  </mergeCells>
  <printOptions/>
  <pageMargins left="0.75" right="0.75" top="1" bottom="1" header="0.67" footer="0.5"/>
  <pageSetup horizontalDpi="600" verticalDpi="600" orientation="landscape" paperSize="9" scale="78" r:id="rId1"/>
  <headerFooter alignWithMargins="0">
    <oddHeader>&amp;L5.3 melléklet a 14/2013.(V.2.) önkormányzati rendelethez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F169"/>
  <sheetViews>
    <sheetView view="pageBreakPreview" zoomScaleSheetLayoutView="100" workbookViewId="0" topLeftCell="E103">
      <selection activeCell="H158" sqref="H158"/>
    </sheetView>
  </sheetViews>
  <sheetFormatPr defaultColWidth="9.00390625" defaultRowHeight="12.75"/>
  <cols>
    <col min="1" max="1" width="25.75390625" style="721" customWidth="1"/>
    <col min="2" max="2" width="9.75390625" style="721" customWidth="1"/>
    <col min="3" max="3" width="10.125" style="721" customWidth="1"/>
    <col min="4" max="5" width="9.125" style="721" customWidth="1"/>
    <col min="6" max="6" width="9.875" style="721" customWidth="1"/>
    <col min="7" max="7" width="0" style="721" hidden="1" customWidth="1"/>
    <col min="8" max="12" width="9.125" style="721" customWidth="1"/>
    <col min="13" max="13" width="8.125" style="721" customWidth="1"/>
    <col min="14" max="16" width="7.125" style="721" customWidth="1"/>
    <col min="17" max="17" width="12.00390625" style="721" customWidth="1"/>
    <col min="18" max="18" width="25.75390625" style="721" customWidth="1"/>
    <col min="19" max="19" width="9.75390625" style="721" customWidth="1"/>
    <col min="20" max="21" width="10.00390625" style="721" bestFit="1" customWidth="1"/>
    <col min="22" max="27" width="9.125" style="721" customWidth="1"/>
    <col min="28" max="28" width="11.125" style="721" customWidth="1"/>
    <col min="29" max="29" width="9.125" style="721" customWidth="1"/>
    <col min="30" max="30" width="12.375" style="721" customWidth="1"/>
    <col min="31" max="32" width="9.125" style="721" hidden="1" customWidth="1"/>
    <col min="33" max="16384" width="9.125" style="721" customWidth="1"/>
  </cols>
  <sheetData>
    <row r="1" spans="1:30" ht="12.75">
      <c r="A1" s="1459" t="s">
        <v>187</v>
      </c>
      <c r="B1" s="1459"/>
      <c r="C1" s="1459"/>
      <c r="D1" s="1459"/>
      <c r="E1" s="1459"/>
      <c r="F1" s="1459"/>
      <c r="G1" s="1459"/>
      <c r="H1" s="1459"/>
      <c r="I1" s="1459"/>
      <c r="J1" s="1459"/>
      <c r="K1" s="1459"/>
      <c r="L1" s="1459"/>
      <c r="M1" s="1459"/>
      <c r="N1" s="1459"/>
      <c r="O1" s="1459"/>
      <c r="P1" s="1459"/>
      <c r="Q1" s="1459"/>
      <c r="R1" s="1440" t="s">
        <v>188</v>
      </c>
      <c r="S1" s="1440"/>
      <c r="T1" s="1440"/>
      <c r="U1" s="1440"/>
      <c r="V1" s="1440"/>
      <c r="W1" s="1440"/>
      <c r="X1" s="1440"/>
      <c r="Y1" s="1440"/>
      <c r="Z1" s="1440"/>
      <c r="AA1" s="1440"/>
      <c r="AB1" s="1440"/>
      <c r="AC1" s="1440"/>
      <c r="AD1" s="1440"/>
    </row>
    <row r="2" spans="1:30" ht="12.75" customHeight="1">
      <c r="A2" s="1457" t="s">
        <v>776</v>
      </c>
      <c r="B2" s="1457"/>
      <c r="C2" s="1457" t="s">
        <v>777</v>
      </c>
      <c r="D2" s="1457" t="s">
        <v>778</v>
      </c>
      <c r="E2" s="1441" t="s">
        <v>189</v>
      </c>
      <c r="F2" s="1457" t="s">
        <v>779</v>
      </c>
      <c r="G2" s="1457" t="s">
        <v>601</v>
      </c>
      <c r="H2" s="1457" t="s">
        <v>780</v>
      </c>
      <c r="I2" s="1457"/>
      <c r="J2" s="1457" t="s">
        <v>781</v>
      </c>
      <c r="K2" s="1457"/>
      <c r="L2" s="1457" t="s">
        <v>782</v>
      </c>
      <c r="M2" s="1457" t="s">
        <v>817</v>
      </c>
      <c r="N2" s="1457"/>
      <c r="O2" s="722"/>
      <c r="P2" s="722"/>
      <c r="Q2" s="1457" t="s">
        <v>783</v>
      </c>
      <c r="R2" s="1457" t="s">
        <v>776</v>
      </c>
      <c r="S2" s="1457"/>
      <c r="T2" s="1458" t="s">
        <v>822</v>
      </c>
      <c r="U2" s="1458"/>
      <c r="V2" s="1458"/>
      <c r="W2" s="1458"/>
      <c r="X2" s="1458"/>
      <c r="Y2" s="723"/>
      <c r="Z2" s="1458" t="s">
        <v>823</v>
      </c>
      <c r="AA2" s="1458"/>
      <c r="AB2" s="723"/>
      <c r="AC2" s="723"/>
      <c r="AD2" s="1457" t="s">
        <v>784</v>
      </c>
    </row>
    <row r="3" spans="1:32" ht="48" customHeight="1">
      <c r="A3" s="1457"/>
      <c r="B3" s="1457"/>
      <c r="C3" s="1457"/>
      <c r="D3" s="1457"/>
      <c r="E3" s="1442"/>
      <c r="F3" s="1457"/>
      <c r="G3" s="1457"/>
      <c r="H3" s="722" t="s">
        <v>785</v>
      </c>
      <c r="I3" s="722" t="s">
        <v>786</v>
      </c>
      <c r="J3" s="722" t="s">
        <v>785</v>
      </c>
      <c r="K3" s="722" t="s">
        <v>786</v>
      </c>
      <c r="L3" s="1457"/>
      <c r="M3" s="722" t="s">
        <v>787</v>
      </c>
      <c r="N3" s="722" t="s">
        <v>788</v>
      </c>
      <c r="O3" s="722" t="s">
        <v>190</v>
      </c>
      <c r="P3" s="722" t="s">
        <v>191</v>
      </c>
      <c r="Q3" s="1457"/>
      <c r="R3" s="1457"/>
      <c r="S3" s="1457"/>
      <c r="T3" s="722" t="s">
        <v>441</v>
      </c>
      <c r="U3" s="722" t="s">
        <v>789</v>
      </c>
      <c r="V3" s="722" t="s">
        <v>790</v>
      </c>
      <c r="W3" s="722" t="s">
        <v>791</v>
      </c>
      <c r="X3" s="722" t="s">
        <v>792</v>
      </c>
      <c r="Y3" s="722" t="s">
        <v>192</v>
      </c>
      <c r="Z3" s="722" t="s">
        <v>762</v>
      </c>
      <c r="AA3" s="722" t="s">
        <v>765</v>
      </c>
      <c r="AB3" s="722" t="s">
        <v>804</v>
      </c>
      <c r="AC3" s="722" t="s">
        <v>193</v>
      </c>
      <c r="AD3" s="1457"/>
      <c r="AF3" s="724" t="s">
        <v>793</v>
      </c>
    </row>
    <row r="4" spans="1:32" ht="11.25" customHeight="1">
      <c r="A4" s="1449" t="s">
        <v>766</v>
      </c>
      <c r="B4" s="725" t="s">
        <v>753</v>
      </c>
      <c r="C4" s="726">
        <v>7000</v>
      </c>
      <c r="D4" s="726">
        <v>4831</v>
      </c>
      <c r="E4" s="726"/>
      <c r="F4" s="726">
        <v>1890</v>
      </c>
      <c r="G4" s="726">
        <v>0</v>
      </c>
      <c r="H4" s="726">
        <v>0</v>
      </c>
      <c r="I4" s="726">
        <v>0</v>
      </c>
      <c r="J4" s="726">
        <v>0</v>
      </c>
      <c r="K4" s="726">
        <v>0</v>
      </c>
      <c r="L4" s="726">
        <v>0</v>
      </c>
      <c r="M4" s="726">
        <v>0</v>
      </c>
      <c r="N4" s="726">
        <v>0</v>
      </c>
      <c r="O4" s="726"/>
      <c r="P4" s="726"/>
      <c r="Q4" s="726">
        <v>8890</v>
      </c>
      <c r="R4" s="1449" t="s">
        <v>766</v>
      </c>
      <c r="S4" s="725" t="s">
        <v>753</v>
      </c>
      <c r="T4" s="726">
        <v>37433</v>
      </c>
      <c r="U4" s="726">
        <v>9960</v>
      </c>
      <c r="V4" s="726">
        <v>14509</v>
      </c>
      <c r="W4" s="726">
        <v>5876</v>
      </c>
      <c r="X4" s="726">
        <v>0</v>
      </c>
      <c r="Y4" s="726">
        <v>0</v>
      </c>
      <c r="Z4" s="726">
        <v>0</v>
      </c>
      <c r="AA4" s="726">
        <v>0</v>
      </c>
      <c r="AB4" s="726"/>
      <c r="AC4" s="726"/>
      <c r="AD4" s="726">
        <v>61902</v>
      </c>
      <c r="AF4" s="727">
        <v>61902</v>
      </c>
    </row>
    <row r="5" spans="1:32" ht="12.75" customHeight="1" hidden="1">
      <c r="A5" s="1450"/>
      <c r="B5" s="725" t="s">
        <v>753</v>
      </c>
      <c r="C5" s="726">
        <v>0</v>
      </c>
      <c r="D5" s="726">
        <v>0</v>
      </c>
      <c r="E5" s="726"/>
      <c r="F5" s="726">
        <v>0</v>
      </c>
      <c r="G5" s="726">
        <v>0</v>
      </c>
      <c r="H5" s="726">
        <v>0</v>
      </c>
      <c r="I5" s="726">
        <v>0</v>
      </c>
      <c r="J5" s="726">
        <v>0</v>
      </c>
      <c r="K5" s="726">
        <v>0</v>
      </c>
      <c r="L5" s="726">
        <v>0</v>
      </c>
      <c r="M5" s="726">
        <v>0</v>
      </c>
      <c r="N5" s="726">
        <v>0</v>
      </c>
      <c r="O5" s="726"/>
      <c r="P5" s="726"/>
      <c r="Q5" s="726">
        <v>0</v>
      </c>
      <c r="R5" s="1450"/>
      <c r="S5" s="725" t="s">
        <v>753</v>
      </c>
      <c r="T5" s="726">
        <v>0</v>
      </c>
      <c r="U5" s="726">
        <v>0</v>
      </c>
      <c r="V5" s="726">
        <v>0</v>
      </c>
      <c r="W5" s="726">
        <v>0</v>
      </c>
      <c r="X5" s="726">
        <v>0</v>
      </c>
      <c r="Y5" s="726">
        <v>0</v>
      </c>
      <c r="Z5" s="726">
        <v>0</v>
      </c>
      <c r="AA5" s="726">
        <v>0</v>
      </c>
      <c r="AB5" s="726"/>
      <c r="AC5" s="726"/>
      <c r="AD5" s="726">
        <v>0</v>
      </c>
      <c r="AF5" s="727">
        <v>0</v>
      </c>
    </row>
    <row r="6" spans="1:32" ht="13.5" customHeight="1">
      <c r="A6" s="1450"/>
      <c r="B6" s="725" t="s">
        <v>194</v>
      </c>
      <c r="C6" s="726">
        <v>7000</v>
      </c>
      <c r="D6" s="726">
        <v>4831</v>
      </c>
      <c r="E6" s="726"/>
      <c r="F6" s="726">
        <v>1890</v>
      </c>
      <c r="G6" s="726"/>
      <c r="H6" s="726"/>
      <c r="I6" s="726"/>
      <c r="J6" s="726"/>
      <c r="K6" s="726"/>
      <c r="L6" s="726"/>
      <c r="M6" s="726">
        <v>73</v>
      </c>
      <c r="N6" s="726"/>
      <c r="O6" s="726"/>
      <c r="P6" s="726"/>
      <c r="Q6" s="726">
        <v>8963</v>
      </c>
      <c r="R6" s="1450"/>
      <c r="S6" s="725" t="s">
        <v>194</v>
      </c>
      <c r="T6" s="726">
        <v>38042</v>
      </c>
      <c r="U6" s="726">
        <v>10125</v>
      </c>
      <c r="V6" s="726">
        <v>14742</v>
      </c>
      <c r="W6" s="726">
        <v>5876</v>
      </c>
      <c r="X6" s="726">
        <v>0</v>
      </c>
      <c r="Y6" s="726">
        <v>0</v>
      </c>
      <c r="Z6" s="726">
        <v>0</v>
      </c>
      <c r="AA6" s="726">
        <v>0</v>
      </c>
      <c r="AB6" s="726"/>
      <c r="AC6" s="726"/>
      <c r="AD6" s="726">
        <v>62909</v>
      </c>
      <c r="AF6" s="727"/>
    </row>
    <row r="7" spans="1:32" ht="12" customHeight="1">
      <c r="A7" s="1450"/>
      <c r="B7" s="725" t="s">
        <v>195</v>
      </c>
      <c r="C7" s="726">
        <v>7000</v>
      </c>
      <c r="D7" s="726">
        <v>4831</v>
      </c>
      <c r="E7" s="726"/>
      <c r="F7" s="726">
        <v>1890</v>
      </c>
      <c r="G7" s="726"/>
      <c r="H7" s="726"/>
      <c r="I7" s="726"/>
      <c r="J7" s="726"/>
      <c r="K7" s="726"/>
      <c r="L7" s="726"/>
      <c r="M7" s="726">
        <v>73</v>
      </c>
      <c r="N7" s="726"/>
      <c r="O7" s="726"/>
      <c r="P7" s="726"/>
      <c r="Q7" s="726">
        <v>8963</v>
      </c>
      <c r="R7" s="1450"/>
      <c r="S7" s="725" t="s">
        <v>195</v>
      </c>
      <c r="T7" s="726">
        <v>38653</v>
      </c>
      <c r="U7" s="726">
        <v>10317</v>
      </c>
      <c r="V7" s="726">
        <v>14742</v>
      </c>
      <c r="W7" s="726">
        <v>5876</v>
      </c>
      <c r="X7" s="726">
        <v>0</v>
      </c>
      <c r="Y7" s="726">
        <v>0</v>
      </c>
      <c r="Z7" s="726">
        <v>0</v>
      </c>
      <c r="AA7" s="726">
        <v>0</v>
      </c>
      <c r="AB7" s="726"/>
      <c r="AC7" s="726"/>
      <c r="AD7" s="726">
        <v>63712</v>
      </c>
      <c r="AF7" s="727"/>
    </row>
    <row r="8" spans="1:32" ht="12" customHeight="1">
      <c r="A8" s="1451"/>
      <c r="B8" s="725" t="s">
        <v>196</v>
      </c>
      <c r="C8" s="726">
        <v>7847</v>
      </c>
      <c r="D8" s="726">
        <v>4831</v>
      </c>
      <c r="E8" s="726"/>
      <c r="F8" s="726">
        <v>2263</v>
      </c>
      <c r="G8" s="726"/>
      <c r="H8" s="726"/>
      <c r="I8" s="726"/>
      <c r="J8" s="726"/>
      <c r="K8" s="726"/>
      <c r="L8" s="726"/>
      <c r="M8" s="726">
        <v>73</v>
      </c>
      <c r="N8" s="726"/>
      <c r="O8" s="726"/>
      <c r="P8" s="726"/>
      <c r="Q8" s="726">
        <v>10183</v>
      </c>
      <c r="R8" s="1451"/>
      <c r="S8" s="725" t="s">
        <v>196</v>
      </c>
      <c r="T8" s="726">
        <v>39630</v>
      </c>
      <c r="U8" s="726">
        <v>10579</v>
      </c>
      <c r="V8" s="726">
        <v>16004</v>
      </c>
      <c r="W8" s="726">
        <v>5876</v>
      </c>
      <c r="X8" s="726"/>
      <c r="Y8" s="726"/>
      <c r="Z8" s="726"/>
      <c r="AA8" s="726"/>
      <c r="AB8" s="726"/>
      <c r="AC8" s="726"/>
      <c r="AD8" s="726">
        <v>66213</v>
      </c>
      <c r="AF8" s="727"/>
    </row>
    <row r="9" spans="1:32" ht="13.5" customHeight="1">
      <c r="A9" s="1451"/>
      <c r="B9" s="725" t="s">
        <v>197</v>
      </c>
      <c r="C9" s="726">
        <v>7847</v>
      </c>
      <c r="D9" s="726">
        <v>4831</v>
      </c>
      <c r="E9" s="726"/>
      <c r="F9" s="726">
        <v>2263</v>
      </c>
      <c r="G9" s="726"/>
      <c r="H9" s="726"/>
      <c r="I9" s="726"/>
      <c r="J9" s="726"/>
      <c r="K9" s="726"/>
      <c r="L9" s="726"/>
      <c r="M9" s="726">
        <v>73</v>
      </c>
      <c r="N9" s="726"/>
      <c r="O9" s="726"/>
      <c r="P9" s="726"/>
      <c r="Q9" s="726">
        <v>10183</v>
      </c>
      <c r="R9" s="1451"/>
      <c r="S9" s="725" t="s">
        <v>197</v>
      </c>
      <c r="T9" s="726">
        <v>39808</v>
      </c>
      <c r="U9" s="726">
        <v>10627</v>
      </c>
      <c r="V9" s="726">
        <v>16004</v>
      </c>
      <c r="W9" s="726">
        <v>5876</v>
      </c>
      <c r="X9" s="726"/>
      <c r="Y9" s="726"/>
      <c r="Z9" s="726"/>
      <c r="AA9" s="726"/>
      <c r="AB9" s="726"/>
      <c r="AC9" s="726"/>
      <c r="AD9" s="726">
        <v>66439</v>
      </c>
      <c r="AF9" s="727"/>
    </row>
    <row r="10" spans="1:32" ht="12" customHeight="1">
      <c r="A10" s="1452"/>
      <c r="B10" s="725" t="s">
        <v>824</v>
      </c>
      <c r="C10" s="726">
        <v>7734</v>
      </c>
      <c r="D10" s="726">
        <v>5430</v>
      </c>
      <c r="E10" s="726">
        <v>10</v>
      </c>
      <c r="F10" s="726">
        <v>2461</v>
      </c>
      <c r="G10" s="726"/>
      <c r="H10" s="726"/>
      <c r="I10" s="726"/>
      <c r="J10" s="726"/>
      <c r="K10" s="726"/>
      <c r="L10" s="726"/>
      <c r="M10" s="726">
        <v>73</v>
      </c>
      <c r="N10" s="726">
        <v>73</v>
      </c>
      <c r="O10" s="726">
        <v>73</v>
      </c>
      <c r="P10" s="726"/>
      <c r="Q10" s="726">
        <v>10424</v>
      </c>
      <c r="R10" s="1452"/>
      <c r="S10" s="725" t="s">
        <v>824</v>
      </c>
      <c r="T10" s="726">
        <v>39583</v>
      </c>
      <c r="U10" s="726">
        <v>10600</v>
      </c>
      <c r="V10" s="726">
        <v>14703</v>
      </c>
      <c r="W10" s="726">
        <v>5876</v>
      </c>
      <c r="X10" s="726"/>
      <c r="Y10" s="726"/>
      <c r="Z10" s="726"/>
      <c r="AA10" s="726"/>
      <c r="AB10" s="726"/>
      <c r="AC10" s="726">
        <v>37</v>
      </c>
      <c r="AD10" s="726">
        <v>64923</v>
      </c>
      <c r="AF10" s="727"/>
    </row>
    <row r="11" spans="1:32" ht="12.75">
      <c r="A11" s="1449" t="s">
        <v>751</v>
      </c>
      <c r="B11" s="725" t="s">
        <v>753</v>
      </c>
      <c r="C11" s="726">
        <v>2250</v>
      </c>
      <c r="D11" s="726">
        <v>1964</v>
      </c>
      <c r="E11" s="726"/>
      <c r="F11" s="726">
        <v>607</v>
      </c>
      <c r="G11" s="726">
        <v>0</v>
      </c>
      <c r="H11" s="726">
        <v>0</v>
      </c>
      <c r="I11" s="726">
        <v>0</v>
      </c>
      <c r="J11" s="726">
        <v>0</v>
      </c>
      <c r="K11" s="726">
        <v>0</v>
      </c>
      <c r="L11" s="726">
        <v>0</v>
      </c>
      <c r="M11" s="726">
        <v>0</v>
      </c>
      <c r="N11" s="726">
        <v>0</v>
      </c>
      <c r="O11" s="726"/>
      <c r="P11" s="726"/>
      <c r="Q11" s="726">
        <v>2857</v>
      </c>
      <c r="R11" s="1449" t="s">
        <v>751</v>
      </c>
      <c r="S11" s="725" t="s">
        <v>753</v>
      </c>
      <c r="T11" s="726">
        <v>13258</v>
      </c>
      <c r="U11" s="726">
        <v>3523</v>
      </c>
      <c r="V11" s="726">
        <v>6529</v>
      </c>
      <c r="W11" s="726">
        <v>2656</v>
      </c>
      <c r="X11" s="726">
        <v>0</v>
      </c>
      <c r="Y11" s="726">
        <v>0</v>
      </c>
      <c r="Z11" s="726">
        <v>0</v>
      </c>
      <c r="AA11" s="726">
        <v>0</v>
      </c>
      <c r="AB11" s="726"/>
      <c r="AC11" s="726"/>
      <c r="AD11" s="726">
        <v>23310</v>
      </c>
      <c r="AF11" s="727">
        <v>23310</v>
      </c>
    </row>
    <row r="12" spans="1:32" ht="12.75" customHeight="1" hidden="1">
      <c r="A12" s="1450"/>
      <c r="B12" s="725" t="s">
        <v>753</v>
      </c>
      <c r="C12" s="726">
        <v>0</v>
      </c>
      <c r="D12" s="726">
        <v>0</v>
      </c>
      <c r="E12" s="726"/>
      <c r="F12" s="726">
        <v>0</v>
      </c>
      <c r="G12" s="726">
        <v>0</v>
      </c>
      <c r="H12" s="726">
        <v>0</v>
      </c>
      <c r="I12" s="726">
        <v>0</v>
      </c>
      <c r="J12" s="726">
        <v>0</v>
      </c>
      <c r="K12" s="726">
        <v>0</v>
      </c>
      <c r="L12" s="726">
        <v>0</v>
      </c>
      <c r="M12" s="726">
        <v>0</v>
      </c>
      <c r="N12" s="726">
        <v>0</v>
      </c>
      <c r="O12" s="726"/>
      <c r="P12" s="726"/>
      <c r="Q12" s="726">
        <v>0</v>
      </c>
      <c r="R12" s="1450"/>
      <c r="S12" s="725" t="s">
        <v>753</v>
      </c>
      <c r="T12" s="726">
        <v>0</v>
      </c>
      <c r="U12" s="726">
        <v>0</v>
      </c>
      <c r="V12" s="726">
        <v>0</v>
      </c>
      <c r="W12" s="726">
        <v>0</v>
      </c>
      <c r="X12" s="726">
        <v>0</v>
      </c>
      <c r="Y12" s="726">
        <v>0</v>
      </c>
      <c r="Z12" s="726">
        <v>0</v>
      </c>
      <c r="AA12" s="726">
        <v>0</v>
      </c>
      <c r="AB12" s="726"/>
      <c r="AC12" s="726"/>
      <c r="AD12" s="726">
        <v>0</v>
      </c>
      <c r="AF12" s="727">
        <v>0</v>
      </c>
    </row>
    <row r="13" spans="1:32" ht="12.75" customHeight="1">
      <c r="A13" s="1450"/>
      <c r="B13" s="725" t="s">
        <v>194</v>
      </c>
      <c r="C13" s="726">
        <v>2250</v>
      </c>
      <c r="D13" s="726">
        <v>1964</v>
      </c>
      <c r="E13" s="726"/>
      <c r="F13" s="726">
        <v>607</v>
      </c>
      <c r="G13" s="726"/>
      <c r="H13" s="726"/>
      <c r="I13" s="726"/>
      <c r="J13" s="726"/>
      <c r="K13" s="726"/>
      <c r="L13" s="726"/>
      <c r="M13" s="726"/>
      <c r="N13" s="726"/>
      <c r="O13" s="726"/>
      <c r="P13" s="726"/>
      <c r="Q13" s="726">
        <v>2857</v>
      </c>
      <c r="R13" s="1450"/>
      <c r="S13" s="725" t="s">
        <v>194</v>
      </c>
      <c r="T13" s="726">
        <v>13425</v>
      </c>
      <c r="U13" s="726">
        <v>3569</v>
      </c>
      <c r="V13" s="726">
        <v>6611</v>
      </c>
      <c r="W13" s="726">
        <v>2656</v>
      </c>
      <c r="X13" s="726">
        <v>0</v>
      </c>
      <c r="Y13" s="726">
        <v>0</v>
      </c>
      <c r="Z13" s="726">
        <v>0</v>
      </c>
      <c r="AA13" s="726">
        <v>0</v>
      </c>
      <c r="AB13" s="726"/>
      <c r="AC13" s="726"/>
      <c r="AD13" s="726">
        <v>23605</v>
      </c>
      <c r="AF13" s="727"/>
    </row>
    <row r="14" spans="1:32" ht="12" customHeight="1">
      <c r="A14" s="1450"/>
      <c r="B14" s="725" t="s">
        <v>195</v>
      </c>
      <c r="C14" s="726">
        <v>2250</v>
      </c>
      <c r="D14" s="726">
        <v>1964</v>
      </c>
      <c r="E14" s="726"/>
      <c r="F14" s="726">
        <v>607</v>
      </c>
      <c r="G14" s="726"/>
      <c r="H14" s="726"/>
      <c r="I14" s="726"/>
      <c r="J14" s="726"/>
      <c r="K14" s="726"/>
      <c r="L14" s="726"/>
      <c r="M14" s="726"/>
      <c r="N14" s="726"/>
      <c r="O14" s="726"/>
      <c r="P14" s="726"/>
      <c r="Q14" s="726">
        <v>2857</v>
      </c>
      <c r="R14" s="1450"/>
      <c r="S14" s="725" t="s">
        <v>195</v>
      </c>
      <c r="T14" s="726">
        <v>13590</v>
      </c>
      <c r="U14" s="726">
        <v>3614</v>
      </c>
      <c r="V14" s="726">
        <v>6611</v>
      </c>
      <c r="W14" s="726">
        <v>2656</v>
      </c>
      <c r="X14" s="726">
        <v>0</v>
      </c>
      <c r="Y14" s="726">
        <v>0</v>
      </c>
      <c r="Z14" s="726">
        <v>0</v>
      </c>
      <c r="AA14" s="726">
        <v>0</v>
      </c>
      <c r="AB14" s="726"/>
      <c r="AC14" s="726"/>
      <c r="AD14" s="726">
        <v>23815</v>
      </c>
      <c r="AF14" s="727"/>
    </row>
    <row r="15" spans="1:32" ht="12.75" customHeight="1">
      <c r="A15" s="1451"/>
      <c r="B15" s="725" t="s">
        <v>198</v>
      </c>
      <c r="C15" s="726">
        <v>2250</v>
      </c>
      <c r="D15" s="726">
        <v>1964</v>
      </c>
      <c r="E15" s="726"/>
      <c r="F15" s="726">
        <v>607</v>
      </c>
      <c r="G15" s="726"/>
      <c r="H15" s="726"/>
      <c r="I15" s="726"/>
      <c r="J15" s="726"/>
      <c r="K15" s="726"/>
      <c r="L15" s="726"/>
      <c r="M15" s="726"/>
      <c r="N15" s="726"/>
      <c r="O15" s="726"/>
      <c r="P15" s="726"/>
      <c r="Q15" s="726">
        <v>2857</v>
      </c>
      <c r="R15" s="1451"/>
      <c r="S15" s="725" t="s">
        <v>198</v>
      </c>
      <c r="T15" s="726">
        <v>14055</v>
      </c>
      <c r="U15" s="726">
        <v>3741</v>
      </c>
      <c r="V15" s="726">
        <v>6861</v>
      </c>
      <c r="W15" s="726">
        <v>2656</v>
      </c>
      <c r="X15" s="726"/>
      <c r="Y15" s="726"/>
      <c r="Z15" s="726"/>
      <c r="AA15" s="726"/>
      <c r="AB15" s="726"/>
      <c r="AC15" s="726"/>
      <c r="AD15" s="726">
        <v>24657</v>
      </c>
      <c r="AF15" s="727"/>
    </row>
    <row r="16" spans="1:32" ht="14.25" customHeight="1">
      <c r="A16" s="1451"/>
      <c r="B16" s="725" t="s">
        <v>197</v>
      </c>
      <c r="C16" s="726">
        <v>2250</v>
      </c>
      <c r="D16" s="726">
        <v>1964</v>
      </c>
      <c r="E16" s="726"/>
      <c r="F16" s="726">
        <v>607</v>
      </c>
      <c r="G16" s="726"/>
      <c r="H16" s="726"/>
      <c r="I16" s="726"/>
      <c r="J16" s="726"/>
      <c r="K16" s="726"/>
      <c r="L16" s="726"/>
      <c r="M16" s="726"/>
      <c r="N16" s="726"/>
      <c r="O16" s="726"/>
      <c r="P16" s="726"/>
      <c r="Q16" s="726">
        <v>2857</v>
      </c>
      <c r="R16" s="1451"/>
      <c r="S16" s="725" t="s">
        <v>197</v>
      </c>
      <c r="T16" s="726">
        <v>14131</v>
      </c>
      <c r="U16" s="726">
        <v>3785</v>
      </c>
      <c r="V16" s="726">
        <v>6861</v>
      </c>
      <c r="W16" s="726">
        <v>2656</v>
      </c>
      <c r="X16" s="726"/>
      <c r="Y16" s="726"/>
      <c r="Z16" s="726"/>
      <c r="AA16" s="726"/>
      <c r="AB16" s="726"/>
      <c r="AC16" s="726"/>
      <c r="AD16" s="726">
        <v>24777</v>
      </c>
      <c r="AF16" s="727"/>
    </row>
    <row r="17" spans="1:32" ht="13.5" customHeight="1">
      <c r="A17" s="1452"/>
      <c r="B17" s="725" t="s">
        <v>824</v>
      </c>
      <c r="C17" s="726">
        <v>1732</v>
      </c>
      <c r="D17" s="726">
        <v>1540</v>
      </c>
      <c r="E17" s="726">
        <v>5</v>
      </c>
      <c r="F17" s="726">
        <v>468</v>
      </c>
      <c r="G17" s="726"/>
      <c r="H17" s="726"/>
      <c r="I17" s="726"/>
      <c r="J17" s="726"/>
      <c r="K17" s="726"/>
      <c r="L17" s="726"/>
      <c r="M17" s="726"/>
      <c r="N17" s="726"/>
      <c r="O17" s="726"/>
      <c r="P17" s="726"/>
      <c r="Q17" s="726">
        <v>2205</v>
      </c>
      <c r="R17" s="1452"/>
      <c r="S17" s="725" t="s">
        <v>824</v>
      </c>
      <c r="T17" s="726">
        <v>14131</v>
      </c>
      <c r="U17" s="726">
        <v>3785</v>
      </c>
      <c r="V17" s="726">
        <v>6654</v>
      </c>
      <c r="W17" s="726">
        <v>2656</v>
      </c>
      <c r="X17" s="726"/>
      <c r="Y17" s="726"/>
      <c r="Z17" s="726"/>
      <c r="AA17" s="726"/>
      <c r="AB17" s="726"/>
      <c r="AC17" s="726">
        <v>14</v>
      </c>
      <c r="AD17" s="726">
        <v>24584</v>
      </c>
      <c r="AF17" s="727"/>
    </row>
    <row r="18" spans="1:32" ht="12.75">
      <c r="A18" s="1449" t="s">
        <v>767</v>
      </c>
      <c r="B18" s="725" t="s">
        <v>753</v>
      </c>
      <c r="C18" s="726">
        <v>5208</v>
      </c>
      <c r="D18" s="726">
        <v>4514</v>
      </c>
      <c r="E18" s="726"/>
      <c r="F18" s="726">
        <v>1406</v>
      </c>
      <c r="G18" s="726">
        <v>0</v>
      </c>
      <c r="H18" s="726">
        <v>0</v>
      </c>
      <c r="I18" s="726">
        <v>0</v>
      </c>
      <c r="J18" s="726">
        <v>0</v>
      </c>
      <c r="K18" s="726">
        <v>0</v>
      </c>
      <c r="L18" s="726">
        <v>0</v>
      </c>
      <c r="M18" s="726">
        <v>0</v>
      </c>
      <c r="N18" s="726">
        <v>0</v>
      </c>
      <c r="O18" s="726"/>
      <c r="P18" s="726"/>
      <c r="Q18" s="726">
        <v>6614</v>
      </c>
      <c r="R18" s="1449" t="s">
        <v>767</v>
      </c>
      <c r="S18" s="725" t="s">
        <v>753</v>
      </c>
      <c r="T18" s="726">
        <v>30026</v>
      </c>
      <c r="U18" s="726">
        <v>8016</v>
      </c>
      <c r="V18" s="726">
        <v>11942</v>
      </c>
      <c r="W18" s="726">
        <v>5445</v>
      </c>
      <c r="X18" s="726">
        <v>0</v>
      </c>
      <c r="Y18" s="726">
        <v>0</v>
      </c>
      <c r="Z18" s="726">
        <v>0</v>
      </c>
      <c r="AA18" s="726">
        <v>0</v>
      </c>
      <c r="AB18" s="726"/>
      <c r="AC18" s="726"/>
      <c r="AD18" s="726">
        <v>49984</v>
      </c>
      <c r="AF18" s="727">
        <v>49984</v>
      </c>
    </row>
    <row r="19" spans="1:32" ht="12.75">
      <c r="A19" s="1450"/>
      <c r="B19" s="725" t="s">
        <v>194</v>
      </c>
      <c r="C19" s="726">
        <v>5208</v>
      </c>
      <c r="D19" s="726">
        <v>4514</v>
      </c>
      <c r="E19" s="726"/>
      <c r="F19" s="726">
        <v>1406</v>
      </c>
      <c r="G19" s="726"/>
      <c r="H19" s="726"/>
      <c r="I19" s="726"/>
      <c r="J19" s="726"/>
      <c r="K19" s="726"/>
      <c r="L19" s="726"/>
      <c r="M19" s="726">
        <v>434</v>
      </c>
      <c r="N19" s="726"/>
      <c r="O19" s="726"/>
      <c r="P19" s="726"/>
      <c r="Q19" s="726">
        <v>7048</v>
      </c>
      <c r="R19" s="1450"/>
      <c r="S19" s="725" t="s">
        <v>194</v>
      </c>
      <c r="T19" s="726">
        <v>30554</v>
      </c>
      <c r="U19" s="726">
        <v>8158</v>
      </c>
      <c r="V19" s="726">
        <v>12435</v>
      </c>
      <c r="W19" s="726">
        <v>5445</v>
      </c>
      <c r="X19" s="726">
        <v>0</v>
      </c>
      <c r="Y19" s="726">
        <v>0</v>
      </c>
      <c r="Z19" s="726">
        <v>163</v>
      </c>
      <c r="AA19" s="726">
        <v>0</v>
      </c>
      <c r="AB19" s="726"/>
      <c r="AC19" s="726"/>
      <c r="AD19" s="726">
        <v>51310</v>
      </c>
      <c r="AF19" s="727"/>
    </row>
    <row r="20" spans="1:32" ht="12.75">
      <c r="A20" s="1450"/>
      <c r="B20" s="725" t="s">
        <v>195</v>
      </c>
      <c r="C20" s="726">
        <v>5208</v>
      </c>
      <c r="D20" s="726">
        <v>4514</v>
      </c>
      <c r="E20" s="726"/>
      <c r="F20" s="726">
        <v>1406</v>
      </c>
      <c r="G20" s="726"/>
      <c r="H20" s="726"/>
      <c r="I20" s="726"/>
      <c r="J20" s="726"/>
      <c r="K20" s="726"/>
      <c r="L20" s="726"/>
      <c r="M20" s="726">
        <v>434</v>
      </c>
      <c r="N20" s="726"/>
      <c r="O20" s="726"/>
      <c r="P20" s="726"/>
      <c r="Q20" s="726">
        <v>7048</v>
      </c>
      <c r="R20" s="1450"/>
      <c r="S20" s="725" t="s">
        <v>195</v>
      </c>
      <c r="T20" s="726">
        <v>31028</v>
      </c>
      <c r="U20" s="726">
        <v>8286</v>
      </c>
      <c r="V20" s="726">
        <v>12750</v>
      </c>
      <c r="W20" s="726">
        <v>5445</v>
      </c>
      <c r="X20" s="726">
        <v>0</v>
      </c>
      <c r="Y20" s="726">
        <v>0</v>
      </c>
      <c r="Z20" s="726">
        <v>163</v>
      </c>
      <c r="AA20" s="726">
        <v>0</v>
      </c>
      <c r="AB20" s="726"/>
      <c r="AC20" s="726"/>
      <c r="AD20" s="726">
        <v>52227</v>
      </c>
      <c r="AF20" s="727"/>
    </row>
    <row r="21" spans="1:32" ht="12.75">
      <c r="A21" s="1451"/>
      <c r="B21" s="725" t="s">
        <v>198</v>
      </c>
      <c r="C21" s="726">
        <v>5208</v>
      </c>
      <c r="D21" s="726">
        <v>4514</v>
      </c>
      <c r="E21" s="726"/>
      <c r="F21" s="726">
        <v>1695</v>
      </c>
      <c r="G21" s="726"/>
      <c r="H21" s="726"/>
      <c r="I21" s="726"/>
      <c r="J21" s="726"/>
      <c r="K21" s="726"/>
      <c r="L21" s="726"/>
      <c r="M21" s="726">
        <v>434</v>
      </c>
      <c r="N21" s="726"/>
      <c r="O21" s="726"/>
      <c r="P21" s="726"/>
      <c r="Q21" s="726">
        <v>7337</v>
      </c>
      <c r="R21" s="1451"/>
      <c r="S21" s="725" t="s">
        <v>198</v>
      </c>
      <c r="T21" s="726">
        <v>31884</v>
      </c>
      <c r="U21" s="726">
        <v>8518</v>
      </c>
      <c r="V21" s="726">
        <v>13039</v>
      </c>
      <c r="W21" s="726">
        <v>5445</v>
      </c>
      <c r="X21" s="726"/>
      <c r="Y21" s="726"/>
      <c r="Z21" s="726">
        <v>163</v>
      </c>
      <c r="AA21" s="726"/>
      <c r="AB21" s="726"/>
      <c r="AC21" s="726"/>
      <c r="AD21" s="726">
        <v>53604</v>
      </c>
      <c r="AF21" s="727"/>
    </row>
    <row r="22" spans="1:32" ht="12.75">
      <c r="A22" s="1451"/>
      <c r="B22" s="725" t="s">
        <v>197</v>
      </c>
      <c r="C22" s="726">
        <v>5208</v>
      </c>
      <c r="D22" s="726">
        <v>4514</v>
      </c>
      <c r="E22" s="726"/>
      <c r="F22" s="726">
        <v>1695</v>
      </c>
      <c r="G22" s="726"/>
      <c r="H22" s="726"/>
      <c r="I22" s="726"/>
      <c r="J22" s="726"/>
      <c r="K22" s="726"/>
      <c r="L22" s="726"/>
      <c r="M22" s="726">
        <v>434</v>
      </c>
      <c r="N22" s="726"/>
      <c r="O22" s="726"/>
      <c r="P22" s="726"/>
      <c r="Q22" s="726">
        <v>7337</v>
      </c>
      <c r="R22" s="1451"/>
      <c r="S22" s="725" t="s">
        <v>197</v>
      </c>
      <c r="T22" s="726">
        <v>31940</v>
      </c>
      <c r="U22" s="726">
        <v>8712</v>
      </c>
      <c r="V22" s="726">
        <v>13039</v>
      </c>
      <c r="W22" s="726">
        <v>5445</v>
      </c>
      <c r="X22" s="726"/>
      <c r="Y22" s="726"/>
      <c r="Z22" s="726">
        <v>163</v>
      </c>
      <c r="AA22" s="726"/>
      <c r="AB22" s="726"/>
      <c r="AC22" s="726"/>
      <c r="AD22" s="726">
        <v>53854</v>
      </c>
      <c r="AF22" s="727"/>
    </row>
    <row r="23" spans="1:32" ht="12.75">
      <c r="A23" s="1452"/>
      <c r="B23" s="725" t="s">
        <v>824</v>
      </c>
      <c r="C23" s="726">
        <v>5044</v>
      </c>
      <c r="D23" s="726">
        <v>4526</v>
      </c>
      <c r="E23" s="726">
        <v>5</v>
      </c>
      <c r="F23" s="726">
        <v>1646</v>
      </c>
      <c r="G23" s="726"/>
      <c r="H23" s="726"/>
      <c r="I23" s="726"/>
      <c r="J23" s="726"/>
      <c r="K23" s="726"/>
      <c r="L23" s="726"/>
      <c r="M23" s="726">
        <v>434</v>
      </c>
      <c r="N23" s="726">
        <v>271</v>
      </c>
      <c r="O23" s="726">
        <v>434</v>
      </c>
      <c r="P23" s="726"/>
      <c r="Q23" s="726">
        <v>7834</v>
      </c>
      <c r="R23" s="1452"/>
      <c r="S23" s="725" t="s">
        <v>824</v>
      </c>
      <c r="T23" s="726">
        <v>31936</v>
      </c>
      <c r="U23" s="726">
        <v>8711</v>
      </c>
      <c r="V23" s="726">
        <v>11748</v>
      </c>
      <c r="W23" s="726">
        <v>5445</v>
      </c>
      <c r="X23" s="726"/>
      <c r="Y23" s="726"/>
      <c r="Z23" s="726">
        <v>163</v>
      </c>
      <c r="AA23" s="726"/>
      <c r="AB23" s="726"/>
      <c r="AC23" s="726">
        <v>43</v>
      </c>
      <c r="AD23" s="726">
        <v>52601</v>
      </c>
      <c r="AF23" s="727"/>
    </row>
    <row r="24" spans="1:32" ht="12.75">
      <c r="A24" s="1449" t="s">
        <v>830</v>
      </c>
      <c r="B24" s="725" t="s">
        <v>753</v>
      </c>
      <c r="C24" s="726">
        <v>5632</v>
      </c>
      <c r="D24" s="726">
        <v>4625</v>
      </c>
      <c r="E24" s="726"/>
      <c r="F24" s="726">
        <v>1521</v>
      </c>
      <c r="G24" s="726">
        <v>0</v>
      </c>
      <c r="H24" s="726">
        <v>0</v>
      </c>
      <c r="I24" s="726">
        <v>0</v>
      </c>
      <c r="J24" s="726">
        <v>0</v>
      </c>
      <c r="K24" s="726">
        <v>0</v>
      </c>
      <c r="L24" s="726">
        <v>0</v>
      </c>
      <c r="M24" s="726">
        <v>0</v>
      </c>
      <c r="N24" s="726">
        <v>0</v>
      </c>
      <c r="O24" s="726"/>
      <c r="P24" s="726"/>
      <c r="Q24" s="726">
        <v>7153</v>
      </c>
      <c r="R24" s="1449" t="s">
        <v>830</v>
      </c>
      <c r="S24" s="725" t="s">
        <v>753</v>
      </c>
      <c r="T24" s="726">
        <v>39360</v>
      </c>
      <c r="U24" s="726">
        <v>10389</v>
      </c>
      <c r="V24" s="726">
        <v>18698</v>
      </c>
      <c r="W24" s="726">
        <v>6319</v>
      </c>
      <c r="X24" s="726">
        <v>0</v>
      </c>
      <c r="Y24" s="726">
        <v>0</v>
      </c>
      <c r="Z24" s="726">
        <v>0</v>
      </c>
      <c r="AA24" s="726">
        <v>0</v>
      </c>
      <c r="AB24" s="726"/>
      <c r="AC24" s="726"/>
      <c r="AD24" s="726">
        <v>68447</v>
      </c>
      <c r="AF24" s="727">
        <v>68447</v>
      </c>
    </row>
    <row r="25" spans="1:32" ht="12.75">
      <c r="A25" s="1450"/>
      <c r="B25" s="725" t="s">
        <v>194</v>
      </c>
      <c r="C25" s="726">
        <v>5632</v>
      </c>
      <c r="D25" s="726">
        <v>4625</v>
      </c>
      <c r="E25" s="726"/>
      <c r="F25" s="726">
        <v>1521</v>
      </c>
      <c r="G25" s="726"/>
      <c r="H25" s="726"/>
      <c r="I25" s="726"/>
      <c r="J25" s="726"/>
      <c r="K25" s="726"/>
      <c r="L25" s="726"/>
      <c r="M25" s="726">
        <v>1343</v>
      </c>
      <c r="N25" s="726"/>
      <c r="O25" s="726"/>
      <c r="P25" s="726"/>
      <c r="Q25" s="726">
        <v>8496</v>
      </c>
      <c r="R25" s="1450"/>
      <c r="S25" s="725" t="s">
        <v>194</v>
      </c>
      <c r="T25" s="726">
        <v>39689</v>
      </c>
      <c r="U25" s="726">
        <v>10477</v>
      </c>
      <c r="V25" s="726">
        <v>20041</v>
      </c>
      <c r="W25" s="726">
        <v>6319</v>
      </c>
      <c r="X25" s="726">
        <v>0</v>
      </c>
      <c r="Y25" s="726">
        <v>0</v>
      </c>
      <c r="Z25" s="726">
        <v>0</v>
      </c>
      <c r="AA25" s="726">
        <v>0</v>
      </c>
      <c r="AB25" s="726"/>
      <c r="AC25" s="726"/>
      <c r="AD25" s="726">
        <v>70207</v>
      </c>
      <c r="AF25" s="727"/>
    </row>
    <row r="26" spans="1:32" ht="12.75">
      <c r="A26" s="1450"/>
      <c r="B26" s="725" t="s">
        <v>195</v>
      </c>
      <c r="C26" s="726">
        <v>5632</v>
      </c>
      <c r="D26" s="726">
        <v>4625</v>
      </c>
      <c r="E26" s="726"/>
      <c r="F26" s="726">
        <v>1521</v>
      </c>
      <c r="G26" s="726"/>
      <c r="H26" s="726"/>
      <c r="I26" s="726"/>
      <c r="J26" s="726"/>
      <c r="K26" s="726"/>
      <c r="L26" s="726"/>
      <c r="M26" s="726">
        <v>1343</v>
      </c>
      <c r="N26" s="726"/>
      <c r="O26" s="726"/>
      <c r="P26" s="726"/>
      <c r="Q26" s="726">
        <v>8496</v>
      </c>
      <c r="R26" s="1450"/>
      <c r="S26" s="725" t="s">
        <v>195</v>
      </c>
      <c r="T26" s="726">
        <v>40059</v>
      </c>
      <c r="U26" s="726">
        <v>10577</v>
      </c>
      <c r="V26" s="726">
        <v>20341</v>
      </c>
      <c r="W26" s="726">
        <v>6319</v>
      </c>
      <c r="X26" s="726">
        <v>0</v>
      </c>
      <c r="Y26" s="726">
        <v>0</v>
      </c>
      <c r="Z26" s="726">
        <v>0</v>
      </c>
      <c r="AA26" s="726">
        <v>0</v>
      </c>
      <c r="AB26" s="726"/>
      <c r="AC26" s="726"/>
      <c r="AD26" s="726">
        <v>70977</v>
      </c>
      <c r="AF26" s="727"/>
    </row>
    <row r="27" spans="1:32" ht="12.75">
      <c r="A27" s="1451"/>
      <c r="B27" s="725" t="s">
        <v>198</v>
      </c>
      <c r="C27" s="726">
        <v>7239</v>
      </c>
      <c r="D27" s="726">
        <v>4625</v>
      </c>
      <c r="E27" s="726"/>
      <c r="F27" s="726">
        <v>1521</v>
      </c>
      <c r="G27" s="726"/>
      <c r="H27" s="726"/>
      <c r="I27" s="726"/>
      <c r="J27" s="726"/>
      <c r="K27" s="726"/>
      <c r="L27" s="726"/>
      <c r="M27" s="726">
        <v>1343</v>
      </c>
      <c r="N27" s="726"/>
      <c r="O27" s="726"/>
      <c r="P27" s="726"/>
      <c r="Q27" s="726">
        <v>10103</v>
      </c>
      <c r="R27" s="1451"/>
      <c r="S27" s="725" t="s">
        <v>198</v>
      </c>
      <c r="T27" s="726">
        <v>40527</v>
      </c>
      <c r="U27" s="726">
        <v>10702</v>
      </c>
      <c r="V27" s="726">
        <v>21976</v>
      </c>
      <c r="W27" s="726">
        <v>6319</v>
      </c>
      <c r="X27" s="726"/>
      <c r="Y27" s="726"/>
      <c r="Z27" s="726"/>
      <c r="AA27" s="726"/>
      <c r="AB27" s="726"/>
      <c r="AC27" s="726"/>
      <c r="AD27" s="726">
        <v>73205</v>
      </c>
      <c r="AF27" s="727"/>
    </row>
    <row r="28" spans="1:32" ht="12.75">
      <c r="A28" s="1451"/>
      <c r="B28" s="725" t="s">
        <v>197</v>
      </c>
      <c r="C28" s="726">
        <v>7486</v>
      </c>
      <c r="D28" s="726">
        <v>4625</v>
      </c>
      <c r="E28" s="726"/>
      <c r="F28" s="726">
        <v>1521</v>
      </c>
      <c r="G28" s="726"/>
      <c r="H28" s="726">
        <v>25</v>
      </c>
      <c r="I28" s="726"/>
      <c r="J28" s="726"/>
      <c r="K28" s="726"/>
      <c r="L28" s="726"/>
      <c r="M28" s="726">
        <v>1343</v>
      </c>
      <c r="N28" s="726"/>
      <c r="O28" s="726"/>
      <c r="P28" s="726"/>
      <c r="Q28" s="726">
        <v>10375</v>
      </c>
      <c r="R28" s="1451"/>
      <c r="S28" s="725" t="s">
        <v>197</v>
      </c>
      <c r="T28" s="726">
        <v>40616</v>
      </c>
      <c r="U28" s="726">
        <v>10726</v>
      </c>
      <c r="V28" s="726">
        <v>21720</v>
      </c>
      <c r="W28" s="726">
        <v>6319</v>
      </c>
      <c r="X28" s="726"/>
      <c r="Y28" s="726"/>
      <c r="Z28" s="726">
        <v>528</v>
      </c>
      <c r="AA28" s="726"/>
      <c r="AB28" s="726"/>
      <c r="AC28" s="726"/>
      <c r="AD28" s="726">
        <v>73590</v>
      </c>
      <c r="AF28" s="727"/>
    </row>
    <row r="29" spans="1:32" ht="12.75">
      <c r="A29" s="1452"/>
      <c r="B29" s="725" t="s">
        <v>824</v>
      </c>
      <c r="C29" s="726">
        <v>8018</v>
      </c>
      <c r="D29" s="726">
        <v>4786</v>
      </c>
      <c r="E29" s="726">
        <v>8</v>
      </c>
      <c r="F29" s="726">
        <v>2098</v>
      </c>
      <c r="G29" s="726"/>
      <c r="H29" s="726">
        <v>25</v>
      </c>
      <c r="I29" s="726"/>
      <c r="J29" s="726"/>
      <c r="K29" s="726"/>
      <c r="L29" s="726"/>
      <c r="M29" s="726">
        <v>1343</v>
      </c>
      <c r="N29" s="726">
        <v>1343</v>
      </c>
      <c r="O29" s="726">
        <v>1343</v>
      </c>
      <c r="P29" s="726"/>
      <c r="Q29" s="726">
        <v>14178</v>
      </c>
      <c r="R29" s="1452"/>
      <c r="S29" s="725" t="s">
        <v>824</v>
      </c>
      <c r="T29" s="726">
        <v>39864</v>
      </c>
      <c r="U29" s="726">
        <v>10617</v>
      </c>
      <c r="V29" s="726">
        <v>21519</v>
      </c>
      <c r="W29" s="726">
        <v>6319</v>
      </c>
      <c r="X29" s="726"/>
      <c r="Y29" s="726"/>
      <c r="Z29" s="726">
        <v>528</v>
      </c>
      <c r="AA29" s="726"/>
      <c r="AB29" s="726"/>
      <c r="AC29" s="726">
        <v>83</v>
      </c>
      <c r="AD29" s="726">
        <v>72611</v>
      </c>
      <c r="AF29" s="727"/>
    </row>
    <row r="30" spans="1:32" ht="12.75">
      <c r="A30" s="1449" t="s">
        <v>794</v>
      </c>
      <c r="B30" s="725" t="s">
        <v>753</v>
      </c>
      <c r="C30" s="726">
        <v>6324</v>
      </c>
      <c r="D30" s="726">
        <v>2914</v>
      </c>
      <c r="E30" s="726"/>
      <c r="F30" s="726">
        <v>1707</v>
      </c>
      <c r="G30" s="726">
        <v>0</v>
      </c>
      <c r="H30" s="726">
        <v>0</v>
      </c>
      <c r="I30" s="726">
        <v>0</v>
      </c>
      <c r="J30" s="726">
        <v>0</v>
      </c>
      <c r="K30" s="726">
        <v>0</v>
      </c>
      <c r="L30" s="726">
        <v>0</v>
      </c>
      <c r="M30" s="726">
        <v>0</v>
      </c>
      <c r="N30" s="726">
        <v>0</v>
      </c>
      <c r="O30" s="726"/>
      <c r="P30" s="726"/>
      <c r="Q30" s="726">
        <v>8031</v>
      </c>
      <c r="R30" s="1449" t="s">
        <v>794</v>
      </c>
      <c r="S30" s="725" t="s">
        <v>753</v>
      </c>
      <c r="T30" s="726">
        <v>28058</v>
      </c>
      <c r="U30" s="726">
        <v>7469</v>
      </c>
      <c r="V30" s="726">
        <v>12810</v>
      </c>
      <c r="W30" s="726">
        <v>3566</v>
      </c>
      <c r="X30" s="726">
        <v>0</v>
      </c>
      <c r="Y30" s="726">
        <v>0</v>
      </c>
      <c r="Z30" s="726">
        <v>0</v>
      </c>
      <c r="AA30" s="726">
        <v>0</v>
      </c>
      <c r="AB30" s="726"/>
      <c r="AC30" s="726"/>
      <c r="AD30" s="726">
        <v>48337</v>
      </c>
      <c r="AF30" s="727">
        <v>48337</v>
      </c>
    </row>
    <row r="31" spans="1:32" ht="12.75">
      <c r="A31" s="1450"/>
      <c r="B31" s="725" t="s">
        <v>194</v>
      </c>
      <c r="C31" s="726">
        <v>6324</v>
      </c>
      <c r="D31" s="726">
        <v>2914</v>
      </c>
      <c r="E31" s="726"/>
      <c r="F31" s="726">
        <v>1707</v>
      </c>
      <c r="G31" s="726"/>
      <c r="H31" s="726"/>
      <c r="I31" s="726"/>
      <c r="J31" s="726"/>
      <c r="K31" s="726"/>
      <c r="L31" s="726"/>
      <c r="M31" s="726">
        <v>164</v>
      </c>
      <c r="N31" s="726"/>
      <c r="O31" s="726"/>
      <c r="P31" s="726"/>
      <c r="Q31" s="726">
        <v>8195</v>
      </c>
      <c r="R31" s="1450"/>
      <c r="S31" s="725" t="s">
        <v>194</v>
      </c>
      <c r="T31" s="726">
        <v>28431</v>
      </c>
      <c r="U31" s="726">
        <v>7570</v>
      </c>
      <c r="V31" s="726">
        <v>13095</v>
      </c>
      <c r="W31" s="726">
        <v>3566</v>
      </c>
      <c r="X31" s="726">
        <v>0</v>
      </c>
      <c r="Y31" s="726">
        <v>0</v>
      </c>
      <c r="Z31" s="726">
        <v>0</v>
      </c>
      <c r="AA31" s="726">
        <v>0</v>
      </c>
      <c r="AB31" s="726"/>
      <c r="AC31" s="726"/>
      <c r="AD31" s="726">
        <v>49096</v>
      </c>
      <c r="AF31" s="727"/>
    </row>
    <row r="32" spans="1:32" ht="12.75">
      <c r="A32" s="1450"/>
      <c r="B32" s="725" t="s">
        <v>195</v>
      </c>
      <c r="C32" s="726">
        <v>6324</v>
      </c>
      <c r="D32" s="726">
        <v>2914</v>
      </c>
      <c r="E32" s="726"/>
      <c r="F32" s="726">
        <v>1707</v>
      </c>
      <c r="G32" s="726"/>
      <c r="H32" s="726"/>
      <c r="I32" s="726"/>
      <c r="J32" s="726"/>
      <c r="K32" s="726"/>
      <c r="L32" s="726"/>
      <c r="M32" s="726">
        <v>164</v>
      </c>
      <c r="N32" s="726"/>
      <c r="O32" s="726"/>
      <c r="P32" s="726"/>
      <c r="Q32" s="726">
        <v>8195</v>
      </c>
      <c r="R32" s="1450"/>
      <c r="S32" s="725" t="s">
        <v>195</v>
      </c>
      <c r="T32" s="726">
        <v>28764</v>
      </c>
      <c r="U32" s="726">
        <v>7659</v>
      </c>
      <c r="V32" s="726">
        <v>13095</v>
      </c>
      <c r="W32" s="726">
        <v>3566</v>
      </c>
      <c r="X32" s="726">
        <v>0</v>
      </c>
      <c r="Y32" s="726">
        <v>0</v>
      </c>
      <c r="Z32" s="726">
        <v>0</v>
      </c>
      <c r="AA32" s="726">
        <v>0</v>
      </c>
      <c r="AB32" s="726"/>
      <c r="AC32" s="726"/>
      <c r="AD32" s="726">
        <v>49518</v>
      </c>
      <c r="AF32" s="727"/>
    </row>
    <row r="33" spans="1:32" ht="12.75">
      <c r="A33" s="1451"/>
      <c r="B33" s="725" t="s">
        <v>198</v>
      </c>
      <c r="C33" s="726">
        <v>13674</v>
      </c>
      <c r="D33" s="726">
        <v>2914</v>
      </c>
      <c r="E33" s="726"/>
      <c r="F33" s="726">
        <v>2013</v>
      </c>
      <c r="G33" s="726"/>
      <c r="H33" s="726"/>
      <c r="I33" s="726"/>
      <c r="J33" s="726"/>
      <c r="K33" s="726"/>
      <c r="L33" s="726"/>
      <c r="M33" s="726">
        <v>164</v>
      </c>
      <c r="N33" s="726"/>
      <c r="O33" s="726"/>
      <c r="P33" s="726"/>
      <c r="Q33" s="726">
        <v>15851</v>
      </c>
      <c r="R33" s="1451"/>
      <c r="S33" s="725" t="s">
        <v>198</v>
      </c>
      <c r="T33" s="726">
        <v>29359</v>
      </c>
      <c r="U33" s="726">
        <v>7819</v>
      </c>
      <c r="V33" s="726">
        <v>20751</v>
      </c>
      <c r="W33" s="726">
        <v>3566</v>
      </c>
      <c r="X33" s="726"/>
      <c r="Y33" s="726"/>
      <c r="Z33" s="726"/>
      <c r="AA33" s="726">
        <v>503</v>
      </c>
      <c r="AB33" s="726"/>
      <c r="AC33" s="726"/>
      <c r="AD33" s="726">
        <v>58432</v>
      </c>
      <c r="AF33" s="727"/>
    </row>
    <row r="34" spans="1:32" ht="12.75">
      <c r="A34" s="1451"/>
      <c r="B34" s="725" t="s">
        <v>197</v>
      </c>
      <c r="C34" s="726">
        <v>13674</v>
      </c>
      <c r="D34" s="726">
        <v>2914</v>
      </c>
      <c r="E34" s="726"/>
      <c r="F34" s="726">
        <v>2013</v>
      </c>
      <c r="G34" s="726"/>
      <c r="H34" s="726"/>
      <c r="I34" s="726"/>
      <c r="J34" s="726"/>
      <c r="K34" s="726"/>
      <c r="L34" s="726"/>
      <c r="M34" s="726">
        <v>164</v>
      </c>
      <c r="N34" s="726"/>
      <c r="O34" s="726"/>
      <c r="P34" s="726"/>
      <c r="Q34" s="726">
        <v>15851</v>
      </c>
      <c r="R34" s="1451"/>
      <c r="S34" s="725" t="s">
        <v>197</v>
      </c>
      <c r="T34" s="726">
        <v>29478</v>
      </c>
      <c r="U34" s="726">
        <v>7851</v>
      </c>
      <c r="V34" s="726">
        <v>20751</v>
      </c>
      <c r="W34" s="726">
        <v>3566</v>
      </c>
      <c r="X34" s="726"/>
      <c r="Y34" s="726"/>
      <c r="Z34" s="726"/>
      <c r="AA34" s="726">
        <v>503</v>
      </c>
      <c r="AB34" s="726"/>
      <c r="AC34" s="726"/>
      <c r="AD34" s="726">
        <v>58583</v>
      </c>
      <c r="AF34" s="727"/>
    </row>
    <row r="35" spans="1:32" ht="12.75">
      <c r="A35" s="1452"/>
      <c r="B35" s="725" t="s">
        <v>824</v>
      </c>
      <c r="C35" s="726">
        <v>13728</v>
      </c>
      <c r="D35" s="726">
        <v>2689</v>
      </c>
      <c r="E35" s="726">
        <v>14</v>
      </c>
      <c r="F35" s="726">
        <v>4005</v>
      </c>
      <c r="G35" s="726"/>
      <c r="H35" s="726"/>
      <c r="I35" s="726"/>
      <c r="J35" s="726"/>
      <c r="K35" s="726"/>
      <c r="L35" s="726"/>
      <c r="M35" s="726">
        <v>164</v>
      </c>
      <c r="N35" s="726">
        <v>164</v>
      </c>
      <c r="O35" s="726">
        <v>164</v>
      </c>
      <c r="P35" s="726"/>
      <c r="Q35" s="726">
        <v>18239</v>
      </c>
      <c r="R35" s="1452"/>
      <c r="S35" s="725" t="s">
        <v>824</v>
      </c>
      <c r="T35" s="726">
        <v>29331</v>
      </c>
      <c r="U35" s="726">
        <v>7817</v>
      </c>
      <c r="V35" s="726">
        <v>20294</v>
      </c>
      <c r="W35" s="726">
        <v>3566</v>
      </c>
      <c r="X35" s="726"/>
      <c r="Y35" s="726"/>
      <c r="Z35" s="726"/>
      <c r="AA35" s="726">
        <v>503</v>
      </c>
      <c r="AB35" s="726"/>
      <c r="AC35" s="726">
        <v>34</v>
      </c>
      <c r="AD35" s="726">
        <v>57979</v>
      </c>
      <c r="AF35" s="727"/>
    </row>
    <row r="36" spans="1:32" ht="12.75">
      <c r="A36" s="1449" t="s">
        <v>729</v>
      </c>
      <c r="B36" s="725" t="s">
        <v>753</v>
      </c>
      <c r="C36" s="726">
        <v>4246</v>
      </c>
      <c r="D36" s="726">
        <v>3675</v>
      </c>
      <c r="E36" s="726"/>
      <c r="F36" s="726">
        <v>1146</v>
      </c>
      <c r="G36" s="726">
        <v>0</v>
      </c>
      <c r="H36" s="726">
        <v>0</v>
      </c>
      <c r="I36" s="726">
        <v>0</v>
      </c>
      <c r="J36" s="726">
        <v>0</v>
      </c>
      <c r="K36" s="726">
        <v>0</v>
      </c>
      <c r="L36" s="726">
        <v>0</v>
      </c>
      <c r="M36" s="726">
        <v>0</v>
      </c>
      <c r="N36" s="726">
        <v>0</v>
      </c>
      <c r="O36" s="726"/>
      <c r="P36" s="726"/>
      <c r="Q36" s="726">
        <v>5392</v>
      </c>
      <c r="R36" s="1449" t="s">
        <v>729</v>
      </c>
      <c r="S36" s="725" t="s">
        <v>753</v>
      </c>
      <c r="T36" s="726">
        <v>27200</v>
      </c>
      <c r="U36" s="726">
        <v>7240</v>
      </c>
      <c r="V36" s="726">
        <v>10915</v>
      </c>
      <c r="W36" s="726">
        <v>5224</v>
      </c>
      <c r="X36" s="726">
        <v>0</v>
      </c>
      <c r="Y36" s="726">
        <v>0</v>
      </c>
      <c r="Z36" s="726">
        <v>0</v>
      </c>
      <c r="AA36" s="726">
        <v>0</v>
      </c>
      <c r="AB36" s="726"/>
      <c r="AC36" s="726"/>
      <c r="AD36" s="726">
        <v>45355</v>
      </c>
      <c r="AF36" s="727">
        <v>45355</v>
      </c>
    </row>
    <row r="37" spans="1:32" ht="12.75">
      <c r="A37" s="1450"/>
      <c r="B37" s="725" t="s">
        <v>194</v>
      </c>
      <c r="C37" s="726">
        <v>4246</v>
      </c>
      <c r="D37" s="726">
        <v>3675</v>
      </c>
      <c r="E37" s="726"/>
      <c r="F37" s="726">
        <v>1146</v>
      </c>
      <c r="G37" s="726"/>
      <c r="H37" s="726"/>
      <c r="I37" s="726"/>
      <c r="J37" s="726"/>
      <c r="K37" s="726"/>
      <c r="L37" s="726"/>
      <c r="M37" s="726"/>
      <c r="N37" s="726"/>
      <c r="O37" s="726"/>
      <c r="P37" s="726"/>
      <c r="Q37" s="726">
        <v>5392</v>
      </c>
      <c r="R37" s="1450"/>
      <c r="S37" s="725" t="s">
        <v>194</v>
      </c>
      <c r="T37" s="726">
        <v>27712</v>
      </c>
      <c r="U37" s="726">
        <v>7379</v>
      </c>
      <c r="V37" s="726">
        <v>11115</v>
      </c>
      <c r="W37" s="726">
        <v>5224</v>
      </c>
      <c r="X37" s="726">
        <v>0</v>
      </c>
      <c r="Y37" s="726">
        <v>0</v>
      </c>
      <c r="Z37" s="726">
        <v>0</v>
      </c>
      <c r="AA37" s="726">
        <v>0</v>
      </c>
      <c r="AB37" s="726"/>
      <c r="AC37" s="726"/>
      <c r="AD37" s="726">
        <v>46206</v>
      </c>
      <c r="AF37" s="727"/>
    </row>
    <row r="38" spans="1:32" ht="12.75">
      <c r="A38" s="1450"/>
      <c r="B38" s="725" t="s">
        <v>195</v>
      </c>
      <c r="C38" s="726">
        <v>4389</v>
      </c>
      <c r="D38" s="726">
        <v>3675</v>
      </c>
      <c r="E38" s="726"/>
      <c r="F38" s="726">
        <v>1146</v>
      </c>
      <c r="G38" s="726"/>
      <c r="H38" s="726"/>
      <c r="I38" s="726"/>
      <c r="J38" s="726"/>
      <c r="K38" s="726"/>
      <c r="L38" s="726"/>
      <c r="M38" s="726"/>
      <c r="N38" s="726"/>
      <c r="O38" s="726"/>
      <c r="P38" s="726"/>
      <c r="Q38" s="726">
        <v>5535</v>
      </c>
      <c r="R38" s="1450"/>
      <c r="S38" s="725" t="s">
        <v>195</v>
      </c>
      <c r="T38" s="726">
        <v>28090</v>
      </c>
      <c r="U38" s="726">
        <v>7481</v>
      </c>
      <c r="V38" s="726">
        <v>11558</v>
      </c>
      <c r="W38" s="726">
        <v>5224</v>
      </c>
      <c r="X38" s="726">
        <v>0</v>
      </c>
      <c r="Y38" s="726">
        <v>0</v>
      </c>
      <c r="Z38" s="726">
        <v>0</v>
      </c>
      <c r="AA38" s="726">
        <v>0</v>
      </c>
      <c r="AB38" s="726"/>
      <c r="AC38" s="726"/>
      <c r="AD38" s="726">
        <v>47129</v>
      </c>
      <c r="AF38" s="727"/>
    </row>
    <row r="39" spans="1:32" ht="12.75">
      <c r="A39" s="1451"/>
      <c r="B39" s="725" t="s">
        <v>198</v>
      </c>
      <c r="C39" s="726">
        <v>4389</v>
      </c>
      <c r="D39" s="726">
        <v>3675</v>
      </c>
      <c r="E39" s="726"/>
      <c r="F39" s="726">
        <v>1403</v>
      </c>
      <c r="G39" s="726"/>
      <c r="H39" s="726"/>
      <c r="I39" s="726"/>
      <c r="J39" s="726">
        <v>503</v>
      </c>
      <c r="K39" s="726"/>
      <c r="L39" s="726"/>
      <c r="M39" s="726"/>
      <c r="N39" s="726"/>
      <c r="O39" s="726"/>
      <c r="P39" s="726"/>
      <c r="Q39" s="726">
        <v>6295</v>
      </c>
      <c r="R39" s="1451"/>
      <c r="S39" s="725" t="s">
        <v>198</v>
      </c>
      <c r="T39" s="726">
        <v>28782</v>
      </c>
      <c r="U39" s="726">
        <v>7668</v>
      </c>
      <c r="V39" s="726">
        <v>12283</v>
      </c>
      <c r="W39" s="726">
        <v>5224</v>
      </c>
      <c r="X39" s="726"/>
      <c r="Y39" s="726"/>
      <c r="Z39" s="726"/>
      <c r="AA39" s="726"/>
      <c r="AB39" s="726"/>
      <c r="AC39" s="726"/>
      <c r="AD39" s="726">
        <v>48733</v>
      </c>
      <c r="AF39" s="727"/>
    </row>
    <row r="40" spans="1:32" ht="12.75">
      <c r="A40" s="1451"/>
      <c r="B40" s="725" t="s">
        <v>197</v>
      </c>
      <c r="C40" s="726">
        <v>4389</v>
      </c>
      <c r="D40" s="726">
        <v>3675</v>
      </c>
      <c r="E40" s="726"/>
      <c r="F40" s="726">
        <v>1403</v>
      </c>
      <c r="G40" s="726"/>
      <c r="H40" s="726"/>
      <c r="I40" s="726"/>
      <c r="J40" s="726">
        <v>503</v>
      </c>
      <c r="K40" s="726"/>
      <c r="L40" s="726"/>
      <c r="M40" s="726"/>
      <c r="N40" s="726"/>
      <c r="O40" s="726"/>
      <c r="P40" s="726"/>
      <c r="Q40" s="726">
        <v>6295</v>
      </c>
      <c r="R40" s="1451"/>
      <c r="S40" s="725" t="s">
        <v>197</v>
      </c>
      <c r="T40" s="726">
        <v>28768</v>
      </c>
      <c r="U40" s="726">
        <v>7727</v>
      </c>
      <c r="V40" s="726">
        <v>12373</v>
      </c>
      <c r="W40" s="726">
        <v>5224</v>
      </c>
      <c r="X40" s="726"/>
      <c r="Y40" s="726"/>
      <c r="Z40" s="726"/>
      <c r="AA40" s="726"/>
      <c r="AB40" s="726"/>
      <c r="AC40" s="726"/>
      <c r="AD40" s="726">
        <v>48868</v>
      </c>
      <c r="AF40" s="727"/>
    </row>
    <row r="41" spans="1:32" ht="12.75">
      <c r="A41" s="1452"/>
      <c r="B41" s="725" t="s">
        <v>824</v>
      </c>
      <c r="C41" s="726">
        <v>4832</v>
      </c>
      <c r="D41" s="726">
        <v>4459</v>
      </c>
      <c r="E41" s="726">
        <v>19</v>
      </c>
      <c r="F41" s="726">
        <v>1519</v>
      </c>
      <c r="G41" s="726"/>
      <c r="H41" s="726"/>
      <c r="I41" s="726"/>
      <c r="J41" s="726">
        <v>176</v>
      </c>
      <c r="K41" s="726"/>
      <c r="L41" s="726"/>
      <c r="M41" s="726"/>
      <c r="N41" s="726"/>
      <c r="O41" s="726"/>
      <c r="P41" s="726"/>
      <c r="Q41" s="726">
        <v>6546</v>
      </c>
      <c r="R41" s="1452"/>
      <c r="S41" s="725" t="s">
        <v>824</v>
      </c>
      <c r="T41" s="726">
        <v>28476</v>
      </c>
      <c r="U41" s="726">
        <v>7725</v>
      </c>
      <c r="V41" s="726">
        <v>12373</v>
      </c>
      <c r="W41" s="726">
        <v>5224</v>
      </c>
      <c r="X41" s="726"/>
      <c r="Y41" s="726"/>
      <c r="Z41" s="726"/>
      <c r="AA41" s="726"/>
      <c r="AB41" s="726"/>
      <c r="AC41" s="726">
        <v>57</v>
      </c>
      <c r="AD41" s="726">
        <v>48631</v>
      </c>
      <c r="AF41" s="727"/>
    </row>
    <row r="42" spans="1:32" ht="12.75">
      <c r="A42" s="1449" t="s">
        <v>795</v>
      </c>
      <c r="B42" s="725" t="s">
        <v>753</v>
      </c>
      <c r="C42" s="726">
        <v>1065</v>
      </c>
      <c r="D42" s="726">
        <v>903</v>
      </c>
      <c r="E42" s="726"/>
      <c r="F42" s="726">
        <v>288</v>
      </c>
      <c r="G42" s="726">
        <v>0</v>
      </c>
      <c r="H42" s="726">
        <v>0</v>
      </c>
      <c r="I42" s="726">
        <v>0</v>
      </c>
      <c r="J42" s="726">
        <v>0</v>
      </c>
      <c r="K42" s="726">
        <v>0</v>
      </c>
      <c r="L42" s="726">
        <v>0</v>
      </c>
      <c r="M42" s="726">
        <v>0</v>
      </c>
      <c r="N42" s="726">
        <v>0</v>
      </c>
      <c r="O42" s="726"/>
      <c r="P42" s="726"/>
      <c r="Q42" s="726">
        <v>1353</v>
      </c>
      <c r="R42" s="1449" t="s">
        <v>795</v>
      </c>
      <c r="S42" s="725" t="s">
        <v>753</v>
      </c>
      <c r="T42" s="726">
        <v>7337</v>
      </c>
      <c r="U42" s="726">
        <v>1978</v>
      </c>
      <c r="V42" s="726">
        <v>3190</v>
      </c>
      <c r="W42" s="726">
        <v>1189</v>
      </c>
      <c r="X42" s="726">
        <v>0</v>
      </c>
      <c r="Y42" s="726">
        <v>0</v>
      </c>
      <c r="Z42" s="726">
        <v>0</v>
      </c>
      <c r="AA42" s="726">
        <v>0</v>
      </c>
      <c r="AB42" s="726"/>
      <c r="AC42" s="726"/>
      <c r="AD42" s="726">
        <v>12505</v>
      </c>
      <c r="AF42" s="727">
        <v>12505</v>
      </c>
    </row>
    <row r="43" spans="1:32" ht="12.75">
      <c r="A43" s="1450"/>
      <c r="B43" s="725" t="s">
        <v>194</v>
      </c>
      <c r="C43" s="726">
        <v>1065</v>
      </c>
      <c r="D43" s="726">
        <v>903</v>
      </c>
      <c r="E43" s="726"/>
      <c r="F43" s="726">
        <v>288</v>
      </c>
      <c r="G43" s="726"/>
      <c r="H43" s="726"/>
      <c r="I43" s="726"/>
      <c r="J43" s="726">
        <v>179</v>
      </c>
      <c r="K43" s="726"/>
      <c r="L43" s="726"/>
      <c r="M43" s="726">
        <v>7</v>
      </c>
      <c r="N43" s="726"/>
      <c r="O43" s="726"/>
      <c r="P43" s="726"/>
      <c r="Q43" s="726">
        <v>1539</v>
      </c>
      <c r="R43" s="1450"/>
      <c r="S43" s="725" t="s">
        <v>194</v>
      </c>
      <c r="T43" s="726">
        <v>7535</v>
      </c>
      <c r="U43" s="726">
        <v>2032</v>
      </c>
      <c r="V43" s="726">
        <v>3297</v>
      </c>
      <c r="W43" s="726">
        <v>1189</v>
      </c>
      <c r="X43" s="726">
        <v>0</v>
      </c>
      <c r="Y43" s="726">
        <v>0</v>
      </c>
      <c r="Z43" s="726">
        <v>0</v>
      </c>
      <c r="AA43" s="726">
        <v>0</v>
      </c>
      <c r="AB43" s="726"/>
      <c r="AC43" s="726"/>
      <c r="AD43" s="726">
        <v>12864</v>
      </c>
      <c r="AF43" s="727"/>
    </row>
    <row r="44" spans="1:32" ht="12.75">
      <c r="A44" s="1450"/>
      <c r="B44" s="725" t="s">
        <v>195</v>
      </c>
      <c r="C44" s="726">
        <v>1065</v>
      </c>
      <c r="D44" s="726">
        <v>903</v>
      </c>
      <c r="E44" s="726"/>
      <c r="F44" s="726">
        <v>288</v>
      </c>
      <c r="G44" s="726"/>
      <c r="H44" s="726"/>
      <c r="I44" s="726"/>
      <c r="J44" s="726">
        <v>239</v>
      </c>
      <c r="K44" s="726"/>
      <c r="L44" s="726"/>
      <c r="M44" s="726">
        <v>7</v>
      </c>
      <c r="N44" s="726"/>
      <c r="O44" s="726"/>
      <c r="P44" s="726"/>
      <c r="Q44" s="726">
        <v>1599</v>
      </c>
      <c r="R44" s="1450"/>
      <c r="S44" s="725" t="s">
        <v>195</v>
      </c>
      <c r="T44" s="726">
        <v>7642</v>
      </c>
      <c r="U44" s="726">
        <v>2062</v>
      </c>
      <c r="V44" s="726">
        <v>3337</v>
      </c>
      <c r="W44" s="726">
        <v>1189</v>
      </c>
      <c r="X44" s="726">
        <v>0</v>
      </c>
      <c r="Y44" s="726">
        <v>0</v>
      </c>
      <c r="Z44" s="726">
        <v>0</v>
      </c>
      <c r="AA44" s="726">
        <v>0</v>
      </c>
      <c r="AB44" s="726"/>
      <c r="AC44" s="726"/>
      <c r="AD44" s="726">
        <v>13041</v>
      </c>
      <c r="AF44" s="727"/>
    </row>
    <row r="45" spans="1:32" ht="12.75">
      <c r="A45" s="1451"/>
      <c r="B45" s="725" t="s">
        <v>198</v>
      </c>
      <c r="C45" s="726">
        <v>1065</v>
      </c>
      <c r="D45" s="726">
        <v>903</v>
      </c>
      <c r="E45" s="726"/>
      <c r="F45" s="726">
        <v>288</v>
      </c>
      <c r="G45" s="726"/>
      <c r="H45" s="726"/>
      <c r="I45" s="726"/>
      <c r="J45" s="726">
        <v>239</v>
      </c>
      <c r="K45" s="726"/>
      <c r="L45" s="726"/>
      <c r="M45" s="726">
        <v>7</v>
      </c>
      <c r="N45" s="726"/>
      <c r="O45" s="726"/>
      <c r="P45" s="726"/>
      <c r="Q45" s="726">
        <v>1599</v>
      </c>
      <c r="R45" s="1451"/>
      <c r="S45" s="725" t="s">
        <v>198</v>
      </c>
      <c r="T45" s="726">
        <v>7752</v>
      </c>
      <c r="U45" s="726">
        <v>2094</v>
      </c>
      <c r="V45" s="726">
        <v>3337</v>
      </c>
      <c r="W45" s="726">
        <v>1189</v>
      </c>
      <c r="X45" s="726"/>
      <c r="Y45" s="726"/>
      <c r="Z45" s="726"/>
      <c r="AA45" s="726"/>
      <c r="AB45" s="726"/>
      <c r="AC45" s="726"/>
      <c r="AD45" s="726">
        <v>13183</v>
      </c>
      <c r="AF45" s="727"/>
    </row>
    <row r="46" spans="1:32" ht="12.75">
      <c r="A46" s="1451"/>
      <c r="B46" s="725" t="s">
        <v>197</v>
      </c>
      <c r="C46" s="726">
        <v>1065</v>
      </c>
      <c r="D46" s="726">
        <v>903</v>
      </c>
      <c r="E46" s="726"/>
      <c r="F46" s="726">
        <v>288</v>
      </c>
      <c r="G46" s="726"/>
      <c r="H46" s="726"/>
      <c r="I46" s="726"/>
      <c r="J46" s="726">
        <v>239</v>
      </c>
      <c r="K46" s="726"/>
      <c r="L46" s="726"/>
      <c r="M46" s="726">
        <v>7</v>
      </c>
      <c r="N46" s="726"/>
      <c r="O46" s="726"/>
      <c r="P46" s="726"/>
      <c r="Q46" s="726">
        <v>1599</v>
      </c>
      <c r="R46" s="1451"/>
      <c r="S46" s="725" t="s">
        <v>197</v>
      </c>
      <c r="T46" s="726">
        <v>7765</v>
      </c>
      <c r="U46" s="726">
        <v>2098</v>
      </c>
      <c r="V46" s="726">
        <v>3337</v>
      </c>
      <c r="W46" s="726">
        <v>1189</v>
      </c>
      <c r="X46" s="726"/>
      <c r="Y46" s="726"/>
      <c r="Z46" s="726"/>
      <c r="AA46" s="726"/>
      <c r="AB46" s="726"/>
      <c r="AC46" s="726"/>
      <c r="AD46" s="726">
        <v>13200</v>
      </c>
      <c r="AF46" s="727"/>
    </row>
    <row r="47" spans="1:32" ht="12.75">
      <c r="A47" s="1452"/>
      <c r="B47" s="725" t="s">
        <v>824</v>
      </c>
      <c r="C47" s="726">
        <v>1080</v>
      </c>
      <c r="D47" s="726">
        <v>1044</v>
      </c>
      <c r="E47" s="726">
        <v>6</v>
      </c>
      <c r="F47" s="726">
        <v>291</v>
      </c>
      <c r="G47" s="726"/>
      <c r="H47" s="726"/>
      <c r="I47" s="726"/>
      <c r="J47" s="726">
        <v>239</v>
      </c>
      <c r="K47" s="726"/>
      <c r="L47" s="726"/>
      <c r="M47" s="726">
        <v>7</v>
      </c>
      <c r="N47" s="726">
        <v>7</v>
      </c>
      <c r="O47" s="726">
        <v>7</v>
      </c>
      <c r="P47" s="726"/>
      <c r="Q47" s="726">
        <v>1637</v>
      </c>
      <c r="R47" s="1452"/>
      <c r="S47" s="725" t="s">
        <v>824</v>
      </c>
      <c r="T47" s="726">
        <v>7626</v>
      </c>
      <c r="U47" s="726">
        <v>2068</v>
      </c>
      <c r="V47" s="726">
        <v>3248</v>
      </c>
      <c r="W47" s="726">
        <v>1189</v>
      </c>
      <c r="X47" s="726"/>
      <c r="Y47" s="726"/>
      <c r="Z47" s="726"/>
      <c r="AA47" s="726"/>
      <c r="AB47" s="726"/>
      <c r="AC47" s="726"/>
      <c r="AD47" s="726">
        <v>12942</v>
      </c>
      <c r="AF47" s="727"/>
    </row>
    <row r="48" spans="1:32" ht="12.75">
      <c r="A48" s="1449" t="s">
        <v>831</v>
      </c>
      <c r="B48" s="725" t="s">
        <v>753</v>
      </c>
      <c r="C48" s="726">
        <v>7643</v>
      </c>
      <c r="D48" s="726">
        <v>4288</v>
      </c>
      <c r="E48" s="726"/>
      <c r="F48" s="726">
        <v>2064</v>
      </c>
      <c r="G48" s="726">
        <v>0</v>
      </c>
      <c r="H48" s="726">
        <v>0</v>
      </c>
      <c r="I48" s="726">
        <v>0</v>
      </c>
      <c r="J48" s="726">
        <v>0</v>
      </c>
      <c r="K48" s="726">
        <v>0</v>
      </c>
      <c r="L48" s="726">
        <v>0</v>
      </c>
      <c r="M48" s="726">
        <v>0</v>
      </c>
      <c r="N48" s="726">
        <v>0</v>
      </c>
      <c r="O48" s="726"/>
      <c r="P48" s="726"/>
      <c r="Q48" s="726">
        <v>9707</v>
      </c>
      <c r="R48" s="1449" t="s">
        <v>831</v>
      </c>
      <c r="S48" s="725" t="s">
        <v>753</v>
      </c>
      <c r="T48" s="726">
        <v>46369</v>
      </c>
      <c r="U48" s="726">
        <v>12305</v>
      </c>
      <c r="V48" s="726">
        <v>19538</v>
      </c>
      <c r="W48" s="726">
        <v>5213</v>
      </c>
      <c r="X48" s="726">
        <v>0</v>
      </c>
      <c r="Y48" s="726">
        <v>0</v>
      </c>
      <c r="Z48" s="726">
        <v>0</v>
      </c>
      <c r="AA48" s="726">
        <v>0</v>
      </c>
      <c r="AB48" s="726"/>
      <c r="AC48" s="726"/>
      <c r="AD48" s="726">
        <v>78212</v>
      </c>
      <c r="AF48" s="727">
        <v>78212</v>
      </c>
    </row>
    <row r="49" spans="1:32" ht="12.75">
      <c r="A49" s="1450"/>
      <c r="B49" s="725" t="s">
        <v>194</v>
      </c>
      <c r="C49" s="726">
        <v>7643</v>
      </c>
      <c r="D49" s="726">
        <v>4288</v>
      </c>
      <c r="E49" s="726"/>
      <c r="F49" s="726">
        <v>2064</v>
      </c>
      <c r="G49" s="726"/>
      <c r="H49" s="726"/>
      <c r="I49" s="726"/>
      <c r="J49" s="726"/>
      <c r="K49" s="726"/>
      <c r="L49" s="726"/>
      <c r="M49" s="726">
        <v>1248</v>
      </c>
      <c r="N49" s="726"/>
      <c r="O49" s="726"/>
      <c r="P49" s="726"/>
      <c r="Q49" s="726">
        <v>10955</v>
      </c>
      <c r="R49" s="1450"/>
      <c r="S49" s="725" t="s">
        <v>194</v>
      </c>
      <c r="T49" s="726">
        <v>47311</v>
      </c>
      <c r="U49" s="726">
        <v>12559</v>
      </c>
      <c r="V49" s="726">
        <v>20512</v>
      </c>
      <c r="W49" s="726">
        <v>5213</v>
      </c>
      <c r="X49" s="726">
        <v>0</v>
      </c>
      <c r="Y49" s="726">
        <v>0</v>
      </c>
      <c r="Z49" s="726">
        <v>0</v>
      </c>
      <c r="AA49" s="726">
        <v>0</v>
      </c>
      <c r="AB49" s="726"/>
      <c r="AC49" s="726"/>
      <c r="AD49" s="726">
        <v>80382</v>
      </c>
      <c r="AF49" s="727"/>
    </row>
    <row r="50" spans="1:32" ht="12.75">
      <c r="A50" s="1450"/>
      <c r="B50" s="725" t="s">
        <v>195</v>
      </c>
      <c r="C50" s="726">
        <v>9943</v>
      </c>
      <c r="D50" s="726">
        <v>4288</v>
      </c>
      <c r="E50" s="726"/>
      <c r="F50" s="726">
        <v>2064</v>
      </c>
      <c r="G50" s="726"/>
      <c r="H50" s="726"/>
      <c r="I50" s="726"/>
      <c r="J50" s="726"/>
      <c r="K50" s="726"/>
      <c r="L50" s="726"/>
      <c r="M50" s="726">
        <v>1248</v>
      </c>
      <c r="N50" s="726"/>
      <c r="O50" s="726"/>
      <c r="P50" s="726"/>
      <c r="Q50" s="726">
        <v>13255</v>
      </c>
      <c r="R50" s="1450"/>
      <c r="S50" s="725" t="s">
        <v>195</v>
      </c>
      <c r="T50" s="726">
        <v>47811</v>
      </c>
      <c r="U50" s="726">
        <v>12694</v>
      </c>
      <c r="V50" s="726">
        <v>20612</v>
      </c>
      <c r="W50" s="726">
        <v>5213</v>
      </c>
      <c r="X50" s="726">
        <v>0</v>
      </c>
      <c r="Y50" s="726">
        <v>0</v>
      </c>
      <c r="Z50" s="726">
        <v>0</v>
      </c>
      <c r="AA50" s="726">
        <v>2200</v>
      </c>
      <c r="AB50" s="726"/>
      <c r="AC50" s="726"/>
      <c r="AD50" s="726">
        <v>83317</v>
      </c>
      <c r="AF50" s="727"/>
    </row>
    <row r="51" spans="1:32" ht="12.75">
      <c r="A51" s="1451"/>
      <c r="B51" s="725" t="s">
        <v>198</v>
      </c>
      <c r="C51" s="726">
        <v>12392</v>
      </c>
      <c r="D51" s="726">
        <v>4288</v>
      </c>
      <c r="E51" s="726"/>
      <c r="F51" s="726">
        <v>2064</v>
      </c>
      <c r="G51" s="726"/>
      <c r="H51" s="726"/>
      <c r="I51" s="726"/>
      <c r="J51" s="726"/>
      <c r="K51" s="726"/>
      <c r="L51" s="726"/>
      <c r="M51" s="726">
        <v>1248</v>
      </c>
      <c r="N51" s="726"/>
      <c r="O51" s="726"/>
      <c r="P51" s="726"/>
      <c r="Q51" s="726">
        <v>15704</v>
      </c>
      <c r="R51" s="1451"/>
      <c r="S51" s="725" t="s">
        <v>198</v>
      </c>
      <c r="T51" s="726">
        <v>48743</v>
      </c>
      <c r="U51" s="726">
        <v>12946</v>
      </c>
      <c r="V51" s="726">
        <v>23061</v>
      </c>
      <c r="W51" s="726">
        <v>5213</v>
      </c>
      <c r="X51" s="726"/>
      <c r="Y51" s="726"/>
      <c r="Z51" s="726"/>
      <c r="AA51" s="726">
        <v>2200</v>
      </c>
      <c r="AB51" s="726"/>
      <c r="AC51" s="726"/>
      <c r="AD51" s="726">
        <v>86950</v>
      </c>
      <c r="AF51" s="727"/>
    </row>
    <row r="52" spans="1:32" ht="12.75">
      <c r="A52" s="1451"/>
      <c r="B52" s="725" t="s">
        <v>197</v>
      </c>
      <c r="C52" s="726">
        <v>12392</v>
      </c>
      <c r="D52" s="726">
        <v>4288</v>
      </c>
      <c r="E52" s="726"/>
      <c r="F52" s="726">
        <v>2064</v>
      </c>
      <c r="G52" s="726"/>
      <c r="H52" s="726"/>
      <c r="I52" s="726"/>
      <c r="J52" s="726"/>
      <c r="K52" s="726"/>
      <c r="L52" s="726"/>
      <c r="M52" s="726">
        <v>1248</v>
      </c>
      <c r="N52" s="726"/>
      <c r="O52" s="726"/>
      <c r="P52" s="726"/>
      <c r="Q52" s="726">
        <v>15704</v>
      </c>
      <c r="R52" s="1451"/>
      <c r="S52" s="725" t="s">
        <v>197</v>
      </c>
      <c r="T52" s="726">
        <v>48949</v>
      </c>
      <c r="U52" s="726">
        <v>12739</v>
      </c>
      <c r="V52" s="726">
        <v>19801</v>
      </c>
      <c r="W52" s="726">
        <v>5213</v>
      </c>
      <c r="X52" s="726"/>
      <c r="Y52" s="726"/>
      <c r="Z52" s="726"/>
      <c r="AA52" s="726">
        <v>2200</v>
      </c>
      <c r="AB52" s="726"/>
      <c r="AC52" s="726"/>
      <c r="AD52" s="726">
        <v>83689</v>
      </c>
      <c r="AF52" s="727"/>
    </row>
    <row r="53" spans="1:32" ht="12.75">
      <c r="A53" s="1452"/>
      <c r="B53" s="725" t="s">
        <v>824</v>
      </c>
      <c r="C53" s="726">
        <v>10496</v>
      </c>
      <c r="D53" s="726">
        <v>4727</v>
      </c>
      <c r="E53" s="726">
        <v>10</v>
      </c>
      <c r="F53" s="726">
        <v>1324</v>
      </c>
      <c r="G53" s="726"/>
      <c r="H53" s="726"/>
      <c r="I53" s="726"/>
      <c r="J53" s="726"/>
      <c r="K53" s="726"/>
      <c r="L53" s="726"/>
      <c r="M53" s="726">
        <v>1248</v>
      </c>
      <c r="N53" s="726">
        <v>974</v>
      </c>
      <c r="O53" s="726">
        <v>1248</v>
      </c>
      <c r="P53" s="726"/>
      <c r="Q53" s="726">
        <v>15300</v>
      </c>
      <c r="R53" s="1452"/>
      <c r="S53" s="725" t="s">
        <v>824</v>
      </c>
      <c r="T53" s="726">
        <v>48270</v>
      </c>
      <c r="U53" s="726">
        <v>12118</v>
      </c>
      <c r="V53" s="726">
        <v>19264</v>
      </c>
      <c r="W53" s="726">
        <v>5213</v>
      </c>
      <c r="X53" s="726"/>
      <c r="Y53" s="726"/>
      <c r="Z53" s="726"/>
      <c r="AA53" s="726">
        <v>1611</v>
      </c>
      <c r="AB53" s="726"/>
      <c r="AC53" s="726">
        <v>183</v>
      </c>
      <c r="AD53" s="726">
        <v>81446</v>
      </c>
      <c r="AF53" s="727"/>
    </row>
    <row r="54" spans="1:32" ht="12.75">
      <c r="A54" s="1449" t="s">
        <v>832</v>
      </c>
      <c r="B54" s="725" t="s">
        <v>753</v>
      </c>
      <c r="C54" s="726">
        <v>14229</v>
      </c>
      <c r="D54" s="726">
        <v>11136</v>
      </c>
      <c r="E54" s="726"/>
      <c r="F54" s="726">
        <v>3166</v>
      </c>
      <c r="G54" s="726">
        <v>0</v>
      </c>
      <c r="H54" s="726">
        <v>1240</v>
      </c>
      <c r="I54" s="726">
        <v>0</v>
      </c>
      <c r="J54" s="726">
        <v>0</v>
      </c>
      <c r="K54" s="726">
        <v>0</v>
      </c>
      <c r="L54" s="726">
        <v>0</v>
      </c>
      <c r="M54" s="726">
        <v>0</v>
      </c>
      <c r="N54" s="726">
        <v>0</v>
      </c>
      <c r="O54" s="726"/>
      <c r="P54" s="726"/>
      <c r="Q54" s="726">
        <v>18635</v>
      </c>
      <c r="R54" s="1449" t="s">
        <v>832</v>
      </c>
      <c r="S54" s="725" t="s">
        <v>753</v>
      </c>
      <c r="T54" s="726">
        <v>160370</v>
      </c>
      <c r="U54" s="726">
        <v>42898</v>
      </c>
      <c r="V54" s="726">
        <v>73018</v>
      </c>
      <c r="W54" s="726">
        <v>33963</v>
      </c>
      <c r="X54" s="726">
        <v>3600</v>
      </c>
      <c r="Y54" s="726">
        <v>0</v>
      </c>
      <c r="Z54" s="726">
        <v>0</v>
      </c>
      <c r="AA54" s="726">
        <v>0</v>
      </c>
      <c r="AB54" s="726"/>
      <c r="AC54" s="726"/>
      <c r="AD54" s="726">
        <v>279886</v>
      </c>
      <c r="AF54" s="727">
        <v>279886</v>
      </c>
    </row>
    <row r="55" spans="1:32" ht="12.75">
      <c r="A55" s="1450"/>
      <c r="B55" s="725" t="s">
        <v>194</v>
      </c>
      <c r="C55" s="726">
        <v>14249</v>
      </c>
      <c r="D55" s="726">
        <v>11136</v>
      </c>
      <c r="E55" s="726"/>
      <c r="F55" s="726">
        <v>3166</v>
      </c>
      <c r="G55" s="726"/>
      <c r="H55" s="726">
        <v>1702</v>
      </c>
      <c r="I55" s="726"/>
      <c r="J55" s="726"/>
      <c r="K55" s="726"/>
      <c r="L55" s="726"/>
      <c r="M55" s="726">
        <v>4147</v>
      </c>
      <c r="N55" s="726"/>
      <c r="O55" s="726"/>
      <c r="P55" s="726"/>
      <c r="Q55" s="726">
        <v>23264</v>
      </c>
      <c r="R55" s="1450"/>
      <c r="S55" s="725" t="s">
        <v>194</v>
      </c>
      <c r="T55" s="726">
        <v>163975</v>
      </c>
      <c r="U55" s="726">
        <v>43868</v>
      </c>
      <c r="V55" s="726">
        <v>76570</v>
      </c>
      <c r="W55" s="726">
        <v>33963</v>
      </c>
      <c r="X55" s="726">
        <v>3600</v>
      </c>
      <c r="Y55" s="726">
        <v>0</v>
      </c>
      <c r="Z55" s="726">
        <v>0</v>
      </c>
      <c r="AA55" s="726">
        <v>0</v>
      </c>
      <c r="AB55" s="726"/>
      <c r="AC55" s="726"/>
      <c r="AD55" s="726">
        <v>288013</v>
      </c>
      <c r="AF55" s="727"/>
    </row>
    <row r="56" spans="1:32" ht="12.75">
      <c r="A56" s="1450"/>
      <c r="B56" s="725" t="s">
        <v>195</v>
      </c>
      <c r="C56" s="726">
        <v>14258</v>
      </c>
      <c r="D56" s="726">
        <v>11136</v>
      </c>
      <c r="E56" s="726"/>
      <c r="F56" s="726">
        <v>3166</v>
      </c>
      <c r="G56" s="726"/>
      <c r="H56" s="726">
        <v>1607</v>
      </c>
      <c r="I56" s="726"/>
      <c r="J56" s="726">
        <v>1701</v>
      </c>
      <c r="K56" s="726"/>
      <c r="L56" s="726"/>
      <c r="M56" s="726">
        <v>4147</v>
      </c>
      <c r="N56" s="726"/>
      <c r="O56" s="726"/>
      <c r="P56" s="726"/>
      <c r="Q56" s="726">
        <v>24879</v>
      </c>
      <c r="R56" s="1450"/>
      <c r="S56" s="725" t="s">
        <v>195</v>
      </c>
      <c r="T56" s="726">
        <v>167427</v>
      </c>
      <c r="U56" s="726">
        <v>44799</v>
      </c>
      <c r="V56" s="726">
        <v>76553</v>
      </c>
      <c r="W56" s="726">
        <v>33963</v>
      </c>
      <c r="X56" s="726">
        <v>3600</v>
      </c>
      <c r="Y56" s="726">
        <v>226</v>
      </c>
      <c r="Z56" s="726">
        <v>0</v>
      </c>
      <c r="AA56" s="726">
        <v>9426</v>
      </c>
      <c r="AB56" s="726"/>
      <c r="AC56" s="726"/>
      <c r="AD56" s="726">
        <v>302031</v>
      </c>
      <c r="AF56" s="727"/>
    </row>
    <row r="57" spans="1:32" ht="12.75">
      <c r="A57" s="1451"/>
      <c r="B57" s="725" t="s">
        <v>198</v>
      </c>
      <c r="C57" s="726">
        <v>14258</v>
      </c>
      <c r="D57" s="726">
        <v>11136</v>
      </c>
      <c r="E57" s="726"/>
      <c r="F57" s="726">
        <v>7122</v>
      </c>
      <c r="G57" s="726"/>
      <c r="H57" s="726">
        <v>2648</v>
      </c>
      <c r="I57" s="726"/>
      <c r="J57" s="726">
        <v>1701</v>
      </c>
      <c r="K57" s="726"/>
      <c r="L57" s="726"/>
      <c r="M57" s="726">
        <v>4147</v>
      </c>
      <c r="N57" s="726"/>
      <c r="O57" s="726"/>
      <c r="P57" s="726"/>
      <c r="Q57" s="726">
        <v>29876</v>
      </c>
      <c r="R57" s="1451"/>
      <c r="S57" s="725" t="s">
        <v>198</v>
      </c>
      <c r="T57" s="726">
        <v>171134</v>
      </c>
      <c r="U57" s="726">
        <v>45801</v>
      </c>
      <c r="V57" s="726">
        <v>78891</v>
      </c>
      <c r="W57" s="726">
        <v>33963</v>
      </c>
      <c r="X57" s="726">
        <v>2625</v>
      </c>
      <c r="Y57" s="726">
        <v>262</v>
      </c>
      <c r="Z57" s="726"/>
      <c r="AA57" s="726">
        <v>9426</v>
      </c>
      <c r="AB57" s="726"/>
      <c r="AC57" s="726"/>
      <c r="AD57" s="726">
        <v>308139</v>
      </c>
      <c r="AF57" s="727"/>
    </row>
    <row r="58" spans="1:32" ht="12.75">
      <c r="A58" s="1451"/>
      <c r="B58" s="725" t="s">
        <v>197</v>
      </c>
      <c r="C58" s="726">
        <v>14942</v>
      </c>
      <c r="D58" s="726">
        <v>11136</v>
      </c>
      <c r="E58" s="726"/>
      <c r="F58" s="726">
        <v>7122</v>
      </c>
      <c r="G58" s="726"/>
      <c r="H58" s="726">
        <v>2728</v>
      </c>
      <c r="I58" s="726"/>
      <c r="J58" s="726">
        <v>1701</v>
      </c>
      <c r="K58" s="726"/>
      <c r="L58" s="726"/>
      <c r="M58" s="726">
        <v>4147</v>
      </c>
      <c r="N58" s="726"/>
      <c r="O58" s="726"/>
      <c r="P58" s="726"/>
      <c r="Q58" s="726">
        <v>30640</v>
      </c>
      <c r="R58" s="1451"/>
      <c r="S58" s="725" t="s">
        <v>197</v>
      </c>
      <c r="T58" s="726">
        <v>170324</v>
      </c>
      <c r="U58" s="726">
        <v>45140</v>
      </c>
      <c r="V58" s="726">
        <v>82918</v>
      </c>
      <c r="W58" s="726">
        <v>33963</v>
      </c>
      <c r="X58" s="726">
        <v>2625</v>
      </c>
      <c r="Y58" s="726">
        <v>244</v>
      </c>
      <c r="Z58" s="726"/>
      <c r="AA58" s="726">
        <v>9426</v>
      </c>
      <c r="AB58" s="726"/>
      <c r="AC58" s="726"/>
      <c r="AD58" s="726">
        <v>310677</v>
      </c>
      <c r="AF58" s="727"/>
    </row>
    <row r="59" spans="1:32" ht="12.75">
      <c r="A59" s="1452"/>
      <c r="B59" s="725" t="s">
        <v>824</v>
      </c>
      <c r="C59" s="726">
        <v>15885</v>
      </c>
      <c r="D59" s="726">
        <v>11617</v>
      </c>
      <c r="E59" s="726">
        <v>19</v>
      </c>
      <c r="F59" s="726">
        <v>6477</v>
      </c>
      <c r="G59" s="726"/>
      <c r="H59" s="726">
        <v>2727</v>
      </c>
      <c r="I59" s="726"/>
      <c r="J59" s="726">
        <v>3096</v>
      </c>
      <c r="K59" s="726"/>
      <c r="L59" s="726"/>
      <c r="M59" s="726">
        <v>4147</v>
      </c>
      <c r="N59" s="726">
        <v>858</v>
      </c>
      <c r="O59" s="726">
        <v>4147</v>
      </c>
      <c r="P59" s="726"/>
      <c r="Q59" s="726">
        <v>37356</v>
      </c>
      <c r="R59" s="1452"/>
      <c r="S59" s="725" t="s">
        <v>824</v>
      </c>
      <c r="T59" s="726">
        <v>169466</v>
      </c>
      <c r="U59" s="726">
        <v>45072</v>
      </c>
      <c r="V59" s="726">
        <v>82153</v>
      </c>
      <c r="W59" s="726">
        <v>34685</v>
      </c>
      <c r="X59" s="726">
        <v>2625</v>
      </c>
      <c r="Y59" s="726">
        <v>244</v>
      </c>
      <c r="Z59" s="726"/>
      <c r="AA59" s="726">
        <v>9044</v>
      </c>
      <c r="AB59" s="726"/>
      <c r="AC59" s="726">
        <v>-1603</v>
      </c>
      <c r="AD59" s="726">
        <v>307001</v>
      </c>
      <c r="AF59" s="727"/>
    </row>
    <row r="60" spans="1:32" ht="12.75">
      <c r="A60" s="1449" t="s">
        <v>811</v>
      </c>
      <c r="B60" s="725" t="s">
        <v>753</v>
      </c>
      <c r="C60" s="726">
        <v>0</v>
      </c>
      <c r="D60" s="726">
        <v>0</v>
      </c>
      <c r="E60" s="726"/>
      <c r="F60" s="726">
        <v>0</v>
      </c>
      <c r="G60" s="726">
        <v>0</v>
      </c>
      <c r="H60" s="726">
        <v>0</v>
      </c>
      <c r="I60" s="726">
        <v>0</v>
      </c>
      <c r="J60" s="726">
        <v>4702</v>
      </c>
      <c r="K60" s="726">
        <v>0</v>
      </c>
      <c r="L60" s="726">
        <v>0</v>
      </c>
      <c r="M60" s="726">
        <v>0</v>
      </c>
      <c r="N60" s="726">
        <v>0</v>
      </c>
      <c r="O60" s="726"/>
      <c r="P60" s="726"/>
      <c r="Q60" s="726">
        <v>4702</v>
      </c>
      <c r="R60" s="1449" t="s">
        <v>811</v>
      </c>
      <c r="S60" s="725" t="s">
        <v>753</v>
      </c>
      <c r="T60" s="726">
        <v>24937</v>
      </c>
      <c r="U60" s="726">
        <v>6600</v>
      </c>
      <c r="V60" s="726">
        <v>2077</v>
      </c>
      <c r="W60" s="726">
        <v>0</v>
      </c>
      <c r="X60" s="726">
        <v>0</v>
      </c>
      <c r="Y60" s="726">
        <v>0</v>
      </c>
      <c r="Z60" s="726">
        <v>0</v>
      </c>
      <c r="AA60" s="726">
        <v>0</v>
      </c>
      <c r="AB60" s="726"/>
      <c r="AC60" s="726"/>
      <c r="AD60" s="726">
        <v>33614</v>
      </c>
      <c r="AF60" s="727">
        <v>33614</v>
      </c>
    </row>
    <row r="61" spans="1:32" ht="12.75">
      <c r="A61" s="1450"/>
      <c r="B61" s="725" t="s">
        <v>194</v>
      </c>
      <c r="C61" s="726"/>
      <c r="D61" s="726"/>
      <c r="E61" s="726"/>
      <c r="F61" s="726"/>
      <c r="G61" s="726"/>
      <c r="H61" s="726"/>
      <c r="I61" s="726"/>
      <c r="J61" s="726">
        <v>4702</v>
      </c>
      <c r="K61" s="726"/>
      <c r="L61" s="726"/>
      <c r="M61" s="726">
        <v>416</v>
      </c>
      <c r="N61" s="726"/>
      <c r="O61" s="726"/>
      <c r="P61" s="726"/>
      <c r="Q61" s="726">
        <v>5118</v>
      </c>
      <c r="R61" s="1450"/>
      <c r="S61" s="725" t="s">
        <v>194</v>
      </c>
      <c r="T61" s="726">
        <v>25318</v>
      </c>
      <c r="U61" s="726">
        <v>6703</v>
      </c>
      <c r="V61" s="726">
        <v>2099</v>
      </c>
      <c r="W61" s="726">
        <v>0</v>
      </c>
      <c r="X61" s="726">
        <v>0</v>
      </c>
      <c r="Y61" s="726">
        <v>0</v>
      </c>
      <c r="Z61" s="726">
        <v>0</v>
      </c>
      <c r="AA61" s="726">
        <v>0</v>
      </c>
      <c r="AB61" s="726"/>
      <c r="AC61" s="726"/>
      <c r="AD61" s="726">
        <v>34120</v>
      </c>
      <c r="AF61" s="727"/>
    </row>
    <row r="62" spans="1:32" ht="12.75">
      <c r="A62" s="1450"/>
      <c r="B62" s="725" t="s">
        <v>195</v>
      </c>
      <c r="C62" s="726"/>
      <c r="D62" s="726"/>
      <c r="E62" s="726"/>
      <c r="F62" s="726"/>
      <c r="G62" s="726"/>
      <c r="H62" s="726"/>
      <c r="I62" s="726"/>
      <c r="J62" s="726">
        <v>4702</v>
      </c>
      <c r="K62" s="726"/>
      <c r="L62" s="726"/>
      <c r="M62" s="726">
        <v>416</v>
      </c>
      <c r="N62" s="726"/>
      <c r="O62" s="726"/>
      <c r="P62" s="726"/>
      <c r="Q62" s="726">
        <v>5118</v>
      </c>
      <c r="R62" s="1450"/>
      <c r="S62" s="725" t="s">
        <v>195</v>
      </c>
      <c r="T62" s="726">
        <v>25082</v>
      </c>
      <c r="U62" s="726">
        <v>6639</v>
      </c>
      <c r="V62" s="726">
        <v>2587</v>
      </c>
      <c r="W62" s="726">
        <v>0</v>
      </c>
      <c r="X62" s="726">
        <v>0</v>
      </c>
      <c r="Y62" s="726">
        <v>0</v>
      </c>
      <c r="Z62" s="726">
        <v>0</v>
      </c>
      <c r="AA62" s="726">
        <v>0</v>
      </c>
      <c r="AB62" s="726"/>
      <c r="AC62" s="726"/>
      <c r="AD62" s="726">
        <v>34308</v>
      </c>
      <c r="AF62" s="727"/>
    </row>
    <row r="63" spans="1:32" ht="12.75">
      <c r="A63" s="1451"/>
      <c r="B63" s="725" t="s">
        <v>198</v>
      </c>
      <c r="C63" s="726">
        <v>482</v>
      </c>
      <c r="D63" s="726"/>
      <c r="E63" s="726"/>
      <c r="F63" s="726"/>
      <c r="G63" s="726"/>
      <c r="H63" s="726"/>
      <c r="I63" s="726"/>
      <c r="J63" s="726">
        <v>4702</v>
      </c>
      <c r="K63" s="726"/>
      <c r="L63" s="726"/>
      <c r="M63" s="726">
        <v>416</v>
      </c>
      <c r="N63" s="726"/>
      <c r="O63" s="726"/>
      <c r="P63" s="726"/>
      <c r="Q63" s="726">
        <v>5600</v>
      </c>
      <c r="R63" s="1451"/>
      <c r="S63" s="725" t="s">
        <v>198</v>
      </c>
      <c r="T63" s="726">
        <v>24756</v>
      </c>
      <c r="U63" s="726">
        <v>6552</v>
      </c>
      <c r="V63" s="726">
        <v>3779</v>
      </c>
      <c r="W63" s="726"/>
      <c r="X63" s="726"/>
      <c r="Y63" s="726"/>
      <c r="Z63" s="726"/>
      <c r="AA63" s="726"/>
      <c r="AB63" s="726"/>
      <c r="AC63" s="726"/>
      <c r="AD63" s="726">
        <v>35087</v>
      </c>
      <c r="AF63" s="727"/>
    </row>
    <row r="64" spans="1:32" ht="12.75">
      <c r="A64" s="1451"/>
      <c r="B64" s="725" t="s">
        <v>197</v>
      </c>
      <c r="C64" s="726">
        <v>340</v>
      </c>
      <c r="D64" s="726"/>
      <c r="E64" s="726"/>
      <c r="F64" s="726"/>
      <c r="G64" s="726"/>
      <c r="H64" s="726"/>
      <c r="I64" s="726"/>
      <c r="J64" s="726">
        <v>3502</v>
      </c>
      <c r="K64" s="726"/>
      <c r="L64" s="726"/>
      <c r="M64" s="726">
        <v>416</v>
      </c>
      <c r="N64" s="726"/>
      <c r="O64" s="726"/>
      <c r="P64" s="726"/>
      <c r="Q64" s="726">
        <v>4258</v>
      </c>
      <c r="R64" s="1451"/>
      <c r="S64" s="725" t="s">
        <v>197</v>
      </c>
      <c r="T64" s="726">
        <v>21786</v>
      </c>
      <c r="U64" s="726">
        <v>5544</v>
      </c>
      <c r="V64" s="726">
        <v>3417</v>
      </c>
      <c r="W64" s="726"/>
      <c r="X64" s="726"/>
      <c r="Y64" s="726"/>
      <c r="Z64" s="726"/>
      <c r="AA64" s="726"/>
      <c r="AB64" s="726"/>
      <c r="AC64" s="726"/>
      <c r="AD64" s="726">
        <v>30747</v>
      </c>
      <c r="AF64" s="727"/>
    </row>
    <row r="65" spans="1:32" ht="12.75">
      <c r="A65" s="1452"/>
      <c r="B65" s="725" t="s">
        <v>824</v>
      </c>
      <c r="C65" s="726">
        <v>340</v>
      </c>
      <c r="D65" s="726"/>
      <c r="E65" s="726"/>
      <c r="F65" s="726"/>
      <c r="G65" s="726"/>
      <c r="H65" s="726"/>
      <c r="I65" s="726"/>
      <c r="J65" s="726">
        <v>3502</v>
      </c>
      <c r="K65" s="726"/>
      <c r="L65" s="726"/>
      <c r="M65" s="726">
        <v>416</v>
      </c>
      <c r="N65" s="726">
        <v>416</v>
      </c>
      <c r="O65" s="726">
        <v>416</v>
      </c>
      <c r="P65" s="726"/>
      <c r="Q65" s="726">
        <v>5090</v>
      </c>
      <c r="R65" s="1452"/>
      <c r="S65" s="725" t="s">
        <v>824</v>
      </c>
      <c r="T65" s="726">
        <v>21733</v>
      </c>
      <c r="U65" s="726">
        <v>5543</v>
      </c>
      <c r="V65" s="726">
        <v>3410</v>
      </c>
      <c r="W65" s="726"/>
      <c r="X65" s="726"/>
      <c r="Y65" s="726"/>
      <c r="Z65" s="726"/>
      <c r="AA65" s="726"/>
      <c r="AB65" s="726"/>
      <c r="AC65" s="726">
        <v>655</v>
      </c>
      <c r="AD65" s="726">
        <v>31341</v>
      </c>
      <c r="AF65" s="727"/>
    </row>
    <row r="66" spans="1:32" ht="12.75">
      <c r="A66" s="1449" t="s">
        <v>812</v>
      </c>
      <c r="B66" s="725" t="s">
        <v>753</v>
      </c>
      <c r="C66" s="726">
        <v>7972</v>
      </c>
      <c r="D66" s="726">
        <v>7582</v>
      </c>
      <c r="E66" s="726"/>
      <c r="F66" s="726">
        <v>2101</v>
      </c>
      <c r="G66" s="726">
        <v>0</v>
      </c>
      <c r="H66" s="726">
        <v>0</v>
      </c>
      <c r="I66" s="726">
        <v>0</v>
      </c>
      <c r="J66" s="726">
        <v>0</v>
      </c>
      <c r="K66" s="726">
        <v>0</v>
      </c>
      <c r="L66" s="726">
        <v>0</v>
      </c>
      <c r="M66" s="726">
        <v>0</v>
      </c>
      <c r="N66" s="726">
        <v>0</v>
      </c>
      <c r="O66" s="726"/>
      <c r="P66" s="726"/>
      <c r="Q66" s="726">
        <v>10073</v>
      </c>
      <c r="R66" s="1449" t="s">
        <v>812</v>
      </c>
      <c r="S66" s="725" t="s">
        <v>753</v>
      </c>
      <c r="T66" s="726">
        <v>43708</v>
      </c>
      <c r="U66" s="726">
        <v>11769</v>
      </c>
      <c r="V66" s="726">
        <v>28581</v>
      </c>
      <c r="W66" s="726">
        <v>17671</v>
      </c>
      <c r="X66" s="726">
        <v>1080</v>
      </c>
      <c r="Y66" s="726">
        <v>0</v>
      </c>
      <c r="Z66" s="726">
        <v>0</v>
      </c>
      <c r="AA66" s="726">
        <v>0</v>
      </c>
      <c r="AB66" s="726"/>
      <c r="AC66" s="726"/>
      <c r="AD66" s="726">
        <v>85138</v>
      </c>
      <c r="AF66" s="727">
        <v>85138</v>
      </c>
    </row>
    <row r="67" spans="1:32" ht="12.75">
      <c r="A67" s="1450"/>
      <c r="B67" s="725" t="s">
        <v>194</v>
      </c>
      <c r="C67" s="726">
        <v>8372</v>
      </c>
      <c r="D67" s="726">
        <v>7582</v>
      </c>
      <c r="E67" s="726"/>
      <c r="F67" s="726">
        <v>2101</v>
      </c>
      <c r="G67" s="726"/>
      <c r="H67" s="726"/>
      <c r="I67" s="726"/>
      <c r="J67" s="726"/>
      <c r="K67" s="726"/>
      <c r="L67" s="726"/>
      <c r="M67" s="726">
        <v>1786</v>
      </c>
      <c r="N67" s="726"/>
      <c r="O67" s="726"/>
      <c r="P67" s="726"/>
      <c r="Q67" s="726">
        <v>12259</v>
      </c>
      <c r="R67" s="1450"/>
      <c r="S67" s="725" t="s">
        <v>194</v>
      </c>
      <c r="T67" s="726">
        <v>46843</v>
      </c>
      <c r="U67" s="726">
        <v>12616</v>
      </c>
      <c r="V67" s="726">
        <v>28915</v>
      </c>
      <c r="W67" s="726">
        <v>17671</v>
      </c>
      <c r="X67" s="726">
        <v>1080</v>
      </c>
      <c r="Y67" s="726">
        <v>0</v>
      </c>
      <c r="Z67" s="726">
        <v>0</v>
      </c>
      <c r="AA67" s="726">
        <v>0</v>
      </c>
      <c r="AB67" s="726"/>
      <c r="AC67" s="726"/>
      <c r="AD67" s="726">
        <v>89454</v>
      </c>
      <c r="AF67" s="727"/>
    </row>
    <row r="68" spans="1:32" ht="12.75">
      <c r="A68" s="1450"/>
      <c r="B68" s="725" t="s">
        <v>195</v>
      </c>
      <c r="C68" s="726">
        <v>9408</v>
      </c>
      <c r="D68" s="726">
        <v>7582</v>
      </c>
      <c r="E68" s="726"/>
      <c r="F68" s="726">
        <v>2101</v>
      </c>
      <c r="G68" s="726"/>
      <c r="H68" s="726"/>
      <c r="I68" s="726"/>
      <c r="J68" s="726"/>
      <c r="K68" s="726"/>
      <c r="L68" s="726"/>
      <c r="M68" s="726">
        <v>3016</v>
      </c>
      <c r="N68" s="726"/>
      <c r="O68" s="726"/>
      <c r="P68" s="726"/>
      <c r="Q68" s="726">
        <v>14525</v>
      </c>
      <c r="R68" s="1450"/>
      <c r="S68" s="725" t="s">
        <v>195</v>
      </c>
      <c r="T68" s="726">
        <v>47640</v>
      </c>
      <c r="U68" s="726">
        <v>12831</v>
      </c>
      <c r="V68" s="726">
        <v>30081</v>
      </c>
      <c r="W68" s="726">
        <v>17671</v>
      </c>
      <c r="X68" s="726">
        <v>1080</v>
      </c>
      <c r="Y68" s="726">
        <v>0</v>
      </c>
      <c r="Z68" s="726">
        <v>1000</v>
      </c>
      <c r="AA68" s="726"/>
      <c r="AB68" s="726"/>
      <c r="AC68" s="726"/>
      <c r="AD68" s="726">
        <v>92632</v>
      </c>
      <c r="AF68" s="727"/>
    </row>
    <row r="69" spans="1:32" ht="12.75">
      <c r="A69" s="1451"/>
      <c r="B69" s="725" t="s">
        <v>198</v>
      </c>
      <c r="C69" s="726">
        <v>9431</v>
      </c>
      <c r="D69" s="726">
        <v>7582</v>
      </c>
      <c r="E69" s="726"/>
      <c r="F69" s="726">
        <v>2101</v>
      </c>
      <c r="G69" s="726"/>
      <c r="H69" s="726"/>
      <c r="I69" s="726"/>
      <c r="J69" s="726"/>
      <c r="K69" s="726"/>
      <c r="L69" s="726"/>
      <c r="M69" s="726">
        <v>3016</v>
      </c>
      <c r="N69" s="726"/>
      <c r="O69" s="726"/>
      <c r="P69" s="726"/>
      <c r="Q69" s="726">
        <v>14548</v>
      </c>
      <c r="R69" s="1451"/>
      <c r="S69" s="725" t="s">
        <v>198</v>
      </c>
      <c r="T69" s="726">
        <v>48485</v>
      </c>
      <c r="U69" s="726">
        <v>13059</v>
      </c>
      <c r="V69" s="726">
        <v>30399</v>
      </c>
      <c r="W69" s="726">
        <v>17671</v>
      </c>
      <c r="X69" s="726">
        <v>785</v>
      </c>
      <c r="Y69" s="726"/>
      <c r="Z69" s="726">
        <v>1000</v>
      </c>
      <c r="AA69" s="726"/>
      <c r="AB69" s="726"/>
      <c r="AC69" s="726"/>
      <c r="AD69" s="726">
        <v>93728</v>
      </c>
      <c r="AF69" s="727"/>
    </row>
    <row r="70" spans="1:32" ht="12.75">
      <c r="A70" s="1451"/>
      <c r="B70" s="725" t="s">
        <v>197</v>
      </c>
      <c r="C70" s="726">
        <v>9431</v>
      </c>
      <c r="D70" s="726">
        <v>7582</v>
      </c>
      <c r="E70" s="726"/>
      <c r="F70" s="726">
        <v>2101</v>
      </c>
      <c r="G70" s="726"/>
      <c r="H70" s="726"/>
      <c r="I70" s="726"/>
      <c r="J70" s="726"/>
      <c r="K70" s="726"/>
      <c r="L70" s="726"/>
      <c r="M70" s="726">
        <v>3016</v>
      </c>
      <c r="N70" s="726"/>
      <c r="O70" s="726"/>
      <c r="P70" s="726"/>
      <c r="Q70" s="726">
        <v>14548</v>
      </c>
      <c r="R70" s="1451"/>
      <c r="S70" s="725" t="s">
        <v>197</v>
      </c>
      <c r="T70" s="726">
        <v>48485</v>
      </c>
      <c r="U70" s="726">
        <v>13059</v>
      </c>
      <c r="V70" s="726">
        <v>30239</v>
      </c>
      <c r="W70" s="726">
        <v>17671</v>
      </c>
      <c r="X70" s="726">
        <v>785</v>
      </c>
      <c r="Y70" s="726"/>
      <c r="Z70" s="726">
        <v>0</v>
      </c>
      <c r="AA70" s="726">
        <v>1000</v>
      </c>
      <c r="AB70" s="726"/>
      <c r="AC70" s="726"/>
      <c r="AD70" s="726">
        <v>93568</v>
      </c>
      <c r="AF70" s="727"/>
    </row>
    <row r="71" spans="1:32" ht="12.75">
      <c r="A71" s="1452"/>
      <c r="B71" s="725" t="s">
        <v>824</v>
      </c>
      <c r="C71" s="726">
        <v>9367</v>
      </c>
      <c r="D71" s="726">
        <v>7417</v>
      </c>
      <c r="E71" s="726"/>
      <c r="F71" s="726">
        <v>2302</v>
      </c>
      <c r="G71" s="726"/>
      <c r="H71" s="726"/>
      <c r="I71" s="726"/>
      <c r="J71" s="726"/>
      <c r="K71" s="726"/>
      <c r="L71" s="726"/>
      <c r="M71" s="726">
        <v>3016</v>
      </c>
      <c r="N71" s="726">
        <v>478</v>
      </c>
      <c r="O71" s="726">
        <v>3016</v>
      </c>
      <c r="P71" s="726"/>
      <c r="Q71" s="726">
        <v>18179</v>
      </c>
      <c r="R71" s="1452"/>
      <c r="S71" s="725" t="s">
        <v>824</v>
      </c>
      <c r="T71" s="726">
        <v>47787</v>
      </c>
      <c r="U71" s="726">
        <v>12900</v>
      </c>
      <c r="V71" s="726">
        <v>30048</v>
      </c>
      <c r="W71" s="726">
        <v>18354</v>
      </c>
      <c r="X71" s="726">
        <v>785</v>
      </c>
      <c r="Y71" s="726"/>
      <c r="Z71" s="726"/>
      <c r="AA71" s="726">
        <v>901</v>
      </c>
      <c r="AB71" s="726"/>
      <c r="AC71" s="726">
        <v>614</v>
      </c>
      <c r="AD71" s="726">
        <v>93035</v>
      </c>
      <c r="AF71" s="727"/>
    </row>
    <row r="72" spans="1:32" ht="12.75">
      <c r="A72" s="1449" t="s">
        <v>813</v>
      </c>
      <c r="B72" s="725" t="s">
        <v>753</v>
      </c>
      <c r="C72" s="726">
        <v>2093</v>
      </c>
      <c r="D72" s="726">
        <v>1395</v>
      </c>
      <c r="E72" s="726"/>
      <c r="F72" s="726">
        <v>565</v>
      </c>
      <c r="G72" s="726">
        <v>0</v>
      </c>
      <c r="H72" s="726">
        <v>0</v>
      </c>
      <c r="I72" s="726">
        <v>0</v>
      </c>
      <c r="J72" s="726">
        <v>0</v>
      </c>
      <c r="K72" s="726">
        <v>0</v>
      </c>
      <c r="L72" s="726">
        <v>0</v>
      </c>
      <c r="M72" s="726">
        <v>0</v>
      </c>
      <c r="N72" s="726">
        <v>0</v>
      </c>
      <c r="O72" s="726"/>
      <c r="P72" s="726"/>
      <c r="Q72" s="726">
        <v>2658</v>
      </c>
      <c r="R72" s="1449" t="s">
        <v>813</v>
      </c>
      <c r="S72" s="725" t="s">
        <v>753</v>
      </c>
      <c r="T72" s="726">
        <v>32650</v>
      </c>
      <c r="U72" s="726">
        <v>8655</v>
      </c>
      <c r="V72" s="726">
        <v>13855</v>
      </c>
      <c r="W72" s="726">
        <v>4542</v>
      </c>
      <c r="X72" s="726">
        <v>540</v>
      </c>
      <c r="Y72" s="726">
        <v>0</v>
      </c>
      <c r="Z72" s="726">
        <v>0</v>
      </c>
      <c r="AA72" s="726">
        <v>0</v>
      </c>
      <c r="AB72" s="726"/>
      <c r="AC72" s="726"/>
      <c r="AD72" s="726">
        <v>55700</v>
      </c>
      <c r="AF72" s="727">
        <v>55700</v>
      </c>
    </row>
    <row r="73" spans="1:32" ht="12.75">
      <c r="A73" s="1450"/>
      <c r="B73" s="725" t="s">
        <v>194</v>
      </c>
      <c r="C73" s="726">
        <v>2093</v>
      </c>
      <c r="D73" s="726">
        <v>1395</v>
      </c>
      <c r="E73" s="726"/>
      <c r="F73" s="726">
        <v>565</v>
      </c>
      <c r="G73" s="726"/>
      <c r="H73" s="726"/>
      <c r="I73" s="726"/>
      <c r="J73" s="726"/>
      <c r="K73" s="726"/>
      <c r="L73" s="726"/>
      <c r="M73" s="726">
        <v>422</v>
      </c>
      <c r="N73" s="726"/>
      <c r="O73" s="726"/>
      <c r="P73" s="726"/>
      <c r="Q73" s="726">
        <v>3080</v>
      </c>
      <c r="R73" s="1450"/>
      <c r="S73" s="725" t="s">
        <v>194</v>
      </c>
      <c r="T73" s="726">
        <v>32978</v>
      </c>
      <c r="U73" s="726">
        <v>8743</v>
      </c>
      <c r="V73" s="726">
        <v>14243</v>
      </c>
      <c r="W73" s="726">
        <v>4542</v>
      </c>
      <c r="X73" s="726">
        <v>540</v>
      </c>
      <c r="Y73" s="726">
        <v>0</v>
      </c>
      <c r="Z73" s="726">
        <v>0</v>
      </c>
      <c r="AA73" s="726">
        <v>0</v>
      </c>
      <c r="AB73" s="726"/>
      <c r="AC73" s="726"/>
      <c r="AD73" s="726">
        <v>56504</v>
      </c>
      <c r="AF73" s="727"/>
    </row>
    <row r="74" spans="1:32" ht="12.75">
      <c r="A74" s="1450"/>
      <c r="B74" s="725" t="s">
        <v>195</v>
      </c>
      <c r="C74" s="726">
        <v>2143</v>
      </c>
      <c r="D74" s="726">
        <v>1395</v>
      </c>
      <c r="E74" s="726"/>
      <c r="F74" s="726">
        <v>565</v>
      </c>
      <c r="G74" s="726"/>
      <c r="H74" s="726"/>
      <c r="I74" s="726"/>
      <c r="J74" s="726">
        <v>150</v>
      </c>
      <c r="K74" s="726"/>
      <c r="L74" s="726"/>
      <c r="M74" s="726">
        <v>422</v>
      </c>
      <c r="N74" s="726"/>
      <c r="O74" s="726"/>
      <c r="P74" s="726"/>
      <c r="Q74" s="726">
        <v>3280</v>
      </c>
      <c r="R74" s="1450"/>
      <c r="S74" s="725" t="s">
        <v>195</v>
      </c>
      <c r="T74" s="726">
        <v>33359</v>
      </c>
      <c r="U74" s="726">
        <v>8846</v>
      </c>
      <c r="V74" s="726">
        <v>14443</v>
      </c>
      <c r="W74" s="726">
        <v>4542</v>
      </c>
      <c r="X74" s="726">
        <v>540</v>
      </c>
      <c r="Y74" s="726">
        <v>0</v>
      </c>
      <c r="Z74" s="726">
        <v>0</v>
      </c>
      <c r="AA74" s="726">
        <v>0</v>
      </c>
      <c r="AB74" s="726"/>
      <c r="AC74" s="726"/>
      <c r="AD74" s="726">
        <v>57188</v>
      </c>
      <c r="AF74" s="727"/>
    </row>
    <row r="75" spans="1:32" ht="12.75">
      <c r="A75" s="1451"/>
      <c r="B75" s="725" t="s">
        <v>198</v>
      </c>
      <c r="C75" s="726">
        <v>2143</v>
      </c>
      <c r="D75" s="726">
        <v>1395</v>
      </c>
      <c r="E75" s="726"/>
      <c r="F75" s="726">
        <v>565</v>
      </c>
      <c r="G75" s="726"/>
      <c r="H75" s="726"/>
      <c r="I75" s="726"/>
      <c r="J75" s="726">
        <v>200</v>
      </c>
      <c r="K75" s="726"/>
      <c r="L75" s="726"/>
      <c r="M75" s="726">
        <v>422</v>
      </c>
      <c r="N75" s="726"/>
      <c r="O75" s="726"/>
      <c r="P75" s="726"/>
      <c r="Q75" s="726">
        <v>3330</v>
      </c>
      <c r="R75" s="1451"/>
      <c r="S75" s="725" t="s">
        <v>198</v>
      </c>
      <c r="T75" s="726">
        <v>33869</v>
      </c>
      <c r="U75" s="726">
        <v>8984</v>
      </c>
      <c r="V75" s="726">
        <v>14870</v>
      </c>
      <c r="W75" s="726">
        <v>4542</v>
      </c>
      <c r="X75" s="726">
        <v>344</v>
      </c>
      <c r="Y75" s="726"/>
      <c r="Z75" s="726"/>
      <c r="AA75" s="726"/>
      <c r="AB75" s="726"/>
      <c r="AC75" s="726"/>
      <c r="AD75" s="726">
        <v>58067</v>
      </c>
      <c r="AF75" s="727"/>
    </row>
    <row r="76" spans="1:32" ht="12.75">
      <c r="A76" s="1451"/>
      <c r="B76" s="725" t="s">
        <v>197</v>
      </c>
      <c r="C76" s="726">
        <v>2143</v>
      </c>
      <c r="D76" s="726">
        <v>1395</v>
      </c>
      <c r="E76" s="726"/>
      <c r="F76" s="726">
        <v>565</v>
      </c>
      <c r="G76" s="726"/>
      <c r="H76" s="726"/>
      <c r="I76" s="726"/>
      <c r="J76" s="726">
        <v>200</v>
      </c>
      <c r="K76" s="726"/>
      <c r="L76" s="726"/>
      <c r="M76" s="726">
        <v>422</v>
      </c>
      <c r="N76" s="726"/>
      <c r="O76" s="726"/>
      <c r="P76" s="726"/>
      <c r="Q76" s="726">
        <v>3330</v>
      </c>
      <c r="R76" s="1451"/>
      <c r="S76" s="725" t="s">
        <v>197</v>
      </c>
      <c r="T76" s="726">
        <v>33869</v>
      </c>
      <c r="U76" s="726">
        <v>8984</v>
      </c>
      <c r="V76" s="726">
        <v>14744</v>
      </c>
      <c r="W76" s="726">
        <v>4542</v>
      </c>
      <c r="X76" s="726">
        <v>344</v>
      </c>
      <c r="Y76" s="726"/>
      <c r="Z76" s="726">
        <v>126</v>
      </c>
      <c r="AA76" s="726"/>
      <c r="AB76" s="726"/>
      <c r="AC76" s="726"/>
      <c r="AD76" s="726">
        <v>58067</v>
      </c>
      <c r="AF76" s="727"/>
    </row>
    <row r="77" spans="1:32" ht="12.75">
      <c r="A77" s="1452"/>
      <c r="B77" s="725" t="s">
        <v>824</v>
      </c>
      <c r="C77" s="726">
        <v>1510</v>
      </c>
      <c r="D77" s="726">
        <v>753</v>
      </c>
      <c r="E77" s="726"/>
      <c r="F77" s="726">
        <v>399</v>
      </c>
      <c r="G77" s="726"/>
      <c r="H77" s="726"/>
      <c r="I77" s="726"/>
      <c r="J77" s="726">
        <v>200</v>
      </c>
      <c r="K77" s="726"/>
      <c r="L77" s="726"/>
      <c r="M77" s="726">
        <v>422</v>
      </c>
      <c r="N77" s="726">
        <v>422</v>
      </c>
      <c r="O77" s="726">
        <v>422</v>
      </c>
      <c r="P77" s="726"/>
      <c r="Q77" s="726">
        <v>3375</v>
      </c>
      <c r="R77" s="1452"/>
      <c r="S77" s="725" t="s">
        <v>824</v>
      </c>
      <c r="T77" s="726">
        <v>32330</v>
      </c>
      <c r="U77" s="726">
        <v>8881</v>
      </c>
      <c r="V77" s="726">
        <v>11126</v>
      </c>
      <c r="W77" s="726">
        <v>3413</v>
      </c>
      <c r="X77" s="726">
        <v>344</v>
      </c>
      <c r="Y77" s="726"/>
      <c r="Z77" s="726">
        <v>126</v>
      </c>
      <c r="AA77" s="726"/>
      <c r="AB77" s="726"/>
      <c r="AC77" s="726">
        <v>334</v>
      </c>
      <c r="AD77" s="726">
        <v>53141</v>
      </c>
      <c r="AF77" s="727"/>
    </row>
    <row r="78" spans="1:32" ht="12.75">
      <c r="A78" s="1453" t="s">
        <v>833</v>
      </c>
      <c r="B78" s="728" t="s">
        <v>753</v>
      </c>
      <c r="C78" s="729">
        <v>24294</v>
      </c>
      <c r="D78" s="729">
        <v>20113</v>
      </c>
      <c r="E78" s="729"/>
      <c r="F78" s="729">
        <v>5832</v>
      </c>
      <c r="G78" s="729">
        <v>0</v>
      </c>
      <c r="H78" s="729">
        <v>1240</v>
      </c>
      <c r="I78" s="729">
        <v>0</v>
      </c>
      <c r="J78" s="729">
        <v>4702</v>
      </c>
      <c r="K78" s="729">
        <v>0</v>
      </c>
      <c r="L78" s="729">
        <v>0</v>
      </c>
      <c r="M78" s="729">
        <v>0</v>
      </c>
      <c r="N78" s="729">
        <v>0</v>
      </c>
      <c r="O78" s="729"/>
      <c r="P78" s="729"/>
      <c r="Q78" s="729">
        <v>36068</v>
      </c>
      <c r="R78" s="1453" t="s">
        <v>833</v>
      </c>
      <c r="S78" s="728" t="s">
        <v>753</v>
      </c>
      <c r="T78" s="729">
        <v>261665</v>
      </c>
      <c r="U78" s="729">
        <v>69922</v>
      </c>
      <c r="V78" s="729">
        <v>117531</v>
      </c>
      <c r="W78" s="729">
        <v>56176</v>
      </c>
      <c r="X78" s="729">
        <v>5220</v>
      </c>
      <c r="Y78" s="729">
        <v>0</v>
      </c>
      <c r="Z78" s="729">
        <v>0</v>
      </c>
      <c r="AA78" s="729">
        <v>0</v>
      </c>
      <c r="AB78" s="729"/>
      <c r="AC78" s="729"/>
      <c r="AD78" s="729">
        <v>454338</v>
      </c>
      <c r="AE78" s="721">
        <v>0</v>
      </c>
      <c r="AF78" s="727"/>
    </row>
    <row r="79" spans="1:32" ht="12.75">
      <c r="A79" s="1454"/>
      <c r="B79" s="725" t="s">
        <v>194</v>
      </c>
      <c r="C79" s="729">
        <v>24714</v>
      </c>
      <c r="D79" s="729">
        <v>20113</v>
      </c>
      <c r="E79" s="729"/>
      <c r="F79" s="729">
        <v>5832</v>
      </c>
      <c r="G79" s="729">
        <v>0</v>
      </c>
      <c r="H79" s="729">
        <v>1702</v>
      </c>
      <c r="I79" s="729">
        <v>0</v>
      </c>
      <c r="J79" s="729">
        <v>4702</v>
      </c>
      <c r="K79" s="729">
        <v>0</v>
      </c>
      <c r="L79" s="729">
        <v>0</v>
      </c>
      <c r="M79" s="729">
        <v>6771</v>
      </c>
      <c r="N79" s="729">
        <v>0</v>
      </c>
      <c r="O79" s="729"/>
      <c r="P79" s="729"/>
      <c r="Q79" s="729">
        <v>43721</v>
      </c>
      <c r="R79" s="1454"/>
      <c r="S79" s="725" t="s">
        <v>194</v>
      </c>
      <c r="T79" s="729">
        <v>269114</v>
      </c>
      <c r="U79" s="729">
        <v>71930</v>
      </c>
      <c r="V79" s="729">
        <v>121827</v>
      </c>
      <c r="W79" s="729">
        <v>56176</v>
      </c>
      <c r="X79" s="729">
        <v>5220</v>
      </c>
      <c r="Y79" s="729">
        <v>0</v>
      </c>
      <c r="Z79" s="729">
        <v>0</v>
      </c>
      <c r="AA79" s="729">
        <v>0</v>
      </c>
      <c r="AB79" s="729"/>
      <c r="AC79" s="729"/>
      <c r="AD79" s="729">
        <v>468091</v>
      </c>
      <c r="AF79" s="727"/>
    </row>
    <row r="80" spans="1:32" ht="12.75">
      <c r="A80" s="1454"/>
      <c r="B80" s="725" t="s">
        <v>195</v>
      </c>
      <c r="C80" s="729">
        <v>25809</v>
      </c>
      <c r="D80" s="729">
        <v>20113</v>
      </c>
      <c r="E80" s="729"/>
      <c r="F80" s="729">
        <v>5832</v>
      </c>
      <c r="G80" s="729">
        <v>0</v>
      </c>
      <c r="H80" s="729">
        <v>1607</v>
      </c>
      <c r="I80" s="729">
        <v>0</v>
      </c>
      <c r="J80" s="729">
        <v>6553</v>
      </c>
      <c r="K80" s="729">
        <v>0</v>
      </c>
      <c r="L80" s="729">
        <v>0</v>
      </c>
      <c r="M80" s="729">
        <v>8001</v>
      </c>
      <c r="N80" s="729">
        <v>0</v>
      </c>
      <c r="O80" s="729"/>
      <c r="P80" s="729"/>
      <c r="Q80" s="729">
        <v>47802</v>
      </c>
      <c r="R80" s="1454"/>
      <c r="S80" s="725" t="s">
        <v>195</v>
      </c>
      <c r="T80" s="729">
        <v>273508</v>
      </c>
      <c r="U80" s="729">
        <v>73115</v>
      </c>
      <c r="V80" s="729">
        <v>123664</v>
      </c>
      <c r="W80" s="729">
        <v>56176</v>
      </c>
      <c r="X80" s="729">
        <v>5220</v>
      </c>
      <c r="Y80" s="729">
        <v>226</v>
      </c>
      <c r="Z80" s="729">
        <v>1000</v>
      </c>
      <c r="AA80" s="729">
        <v>9426</v>
      </c>
      <c r="AB80" s="729"/>
      <c r="AC80" s="729"/>
      <c r="AD80" s="729">
        <v>486159</v>
      </c>
      <c r="AF80" s="727"/>
    </row>
    <row r="81" spans="1:32" ht="12.75">
      <c r="A81" s="1451"/>
      <c r="B81" s="725" t="s">
        <v>198</v>
      </c>
      <c r="C81" s="729">
        <v>26314</v>
      </c>
      <c r="D81" s="729">
        <v>20113</v>
      </c>
      <c r="E81" s="729"/>
      <c r="F81" s="729">
        <v>9788</v>
      </c>
      <c r="G81" s="729"/>
      <c r="H81" s="729">
        <v>2648</v>
      </c>
      <c r="I81" s="729">
        <v>0</v>
      </c>
      <c r="J81" s="729">
        <v>6603</v>
      </c>
      <c r="K81" s="729">
        <v>0</v>
      </c>
      <c r="L81" s="729">
        <v>0</v>
      </c>
      <c r="M81" s="729">
        <v>8001</v>
      </c>
      <c r="N81" s="729">
        <v>0</v>
      </c>
      <c r="O81" s="729"/>
      <c r="P81" s="729"/>
      <c r="Q81" s="729">
        <v>53354</v>
      </c>
      <c r="R81" s="1451"/>
      <c r="S81" s="725" t="s">
        <v>198</v>
      </c>
      <c r="T81" s="729">
        <v>278244</v>
      </c>
      <c r="U81" s="729">
        <v>74396</v>
      </c>
      <c r="V81" s="729">
        <v>127939</v>
      </c>
      <c r="W81" s="729">
        <v>56176</v>
      </c>
      <c r="X81" s="729">
        <v>3754</v>
      </c>
      <c r="Y81" s="729">
        <v>262</v>
      </c>
      <c r="Z81" s="729">
        <v>1000</v>
      </c>
      <c r="AA81" s="729">
        <v>9426</v>
      </c>
      <c r="AB81" s="729"/>
      <c r="AC81" s="729"/>
      <c r="AD81" s="729">
        <v>495021</v>
      </c>
      <c r="AF81" s="727"/>
    </row>
    <row r="82" spans="1:32" ht="12.75">
      <c r="A82" s="1451"/>
      <c r="B82" s="725" t="s">
        <v>197</v>
      </c>
      <c r="C82" s="729">
        <v>26856</v>
      </c>
      <c r="D82" s="729">
        <v>20113</v>
      </c>
      <c r="E82" s="729"/>
      <c r="F82" s="729">
        <v>9788</v>
      </c>
      <c r="G82" s="729"/>
      <c r="H82" s="729">
        <v>2728</v>
      </c>
      <c r="I82" s="729">
        <v>0</v>
      </c>
      <c r="J82" s="729">
        <v>5403</v>
      </c>
      <c r="K82" s="729">
        <v>0</v>
      </c>
      <c r="L82" s="729">
        <v>0</v>
      </c>
      <c r="M82" s="729">
        <v>8001</v>
      </c>
      <c r="N82" s="729">
        <v>0</v>
      </c>
      <c r="O82" s="729"/>
      <c r="P82" s="729"/>
      <c r="Q82" s="729">
        <v>52776</v>
      </c>
      <c r="R82" s="1451"/>
      <c r="S82" s="725" t="s">
        <v>197</v>
      </c>
      <c r="T82" s="729">
        <v>274464</v>
      </c>
      <c r="U82" s="729">
        <v>72727</v>
      </c>
      <c r="V82" s="729">
        <v>131318</v>
      </c>
      <c r="W82" s="729">
        <v>56176</v>
      </c>
      <c r="X82" s="729">
        <v>3754</v>
      </c>
      <c r="Y82" s="729">
        <v>244</v>
      </c>
      <c r="Z82" s="729">
        <v>126</v>
      </c>
      <c r="AA82" s="729">
        <v>10426</v>
      </c>
      <c r="AB82" s="729"/>
      <c r="AC82" s="729"/>
      <c r="AD82" s="729">
        <v>493059</v>
      </c>
      <c r="AF82" s="727"/>
    </row>
    <row r="83" spans="1:32" ht="12.75">
      <c r="A83" s="1452"/>
      <c r="B83" s="725" t="s">
        <v>824</v>
      </c>
      <c r="C83" s="729">
        <v>27102</v>
      </c>
      <c r="D83" s="729">
        <v>19787</v>
      </c>
      <c r="E83" s="729">
        <v>19</v>
      </c>
      <c r="F83" s="729">
        <v>9178</v>
      </c>
      <c r="G83" s="729"/>
      <c r="H83" s="729">
        <v>2727</v>
      </c>
      <c r="I83" s="729">
        <v>0</v>
      </c>
      <c r="J83" s="729">
        <v>6798</v>
      </c>
      <c r="K83" s="729">
        <v>0</v>
      </c>
      <c r="L83" s="729">
        <v>0</v>
      </c>
      <c r="M83" s="729">
        <v>8001</v>
      </c>
      <c r="N83" s="729">
        <v>2174</v>
      </c>
      <c r="O83" s="729">
        <v>8001</v>
      </c>
      <c r="P83" s="729">
        <v>0</v>
      </c>
      <c r="Q83" s="729">
        <v>64000</v>
      </c>
      <c r="R83" s="1452"/>
      <c r="S83" s="725" t="s">
        <v>824</v>
      </c>
      <c r="T83" s="729">
        <v>271316</v>
      </c>
      <c r="U83" s="729">
        <v>72396</v>
      </c>
      <c r="V83" s="729">
        <v>126737</v>
      </c>
      <c r="W83" s="729">
        <v>56452</v>
      </c>
      <c r="X83" s="729">
        <v>3754</v>
      </c>
      <c r="Y83" s="729">
        <v>244</v>
      </c>
      <c r="Z83" s="729">
        <v>126</v>
      </c>
      <c r="AA83" s="729">
        <v>9945</v>
      </c>
      <c r="AB83" s="729">
        <v>0</v>
      </c>
      <c r="AC83" s="729">
        <v>0</v>
      </c>
      <c r="AD83" s="729">
        <v>484518</v>
      </c>
      <c r="AF83" s="727"/>
    </row>
    <row r="84" spans="1:32" ht="12.75">
      <c r="A84" s="1449" t="s">
        <v>742</v>
      </c>
      <c r="B84" s="725" t="s">
        <v>753</v>
      </c>
      <c r="C84" s="726">
        <v>24586</v>
      </c>
      <c r="D84" s="726">
        <v>17516</v>
      </c>
      <c r="E84" s="726"/>
      <c r="F84" s="726">
        <v>6295</v>
      </c>
      <c r="G84" s="726">
        <v>0</v>
      </c>
      <c r="H84" s="726">
        <v>2300</v>
      </c>
      <c r="I84" s="726">
        <v>0</v>
      </c>
      <c r="J84" s="726">
        <v>0</v>
      </c>
      <c r="K84" s="726">
        <v>0</v>
      </c>
      <c r="L84" s="726">
        <v>0</v>
      </c>
      <c r="M84" s="726">
        <v>0</v>
      </c>
      <c r="N84" s="726">
        <v>0</v>
      </c>
      <c r="O84" s="726"/>
      <c r="P84" s="726"/>
      <c r="Q84" s="726">
        <v>33181</v>
      </c>
      <c r="R84" s="1449" t="s">
        <v>742</v>
      </c>
      <c r="S84" s="725" t="s">
        <v>753</v>
      </c>
      <c r="T84" s="726">
        <v>141206</v>
      </c>
      <c r="U84" s="726">
        <v>37878</v>
      </c>
      <c r="V84" s="726">
        <v>122326</v>
      </c>
      <c r="W84" s="726">
        <v>42840</v>
      </c>
      <c r="X84" s="726">
        <v>3000</v>
      </c>
      <c r="Y84" s="726">
        <v>0</v>
      </c>
      <c r="Z84" s="726">
        <v>0</v>
      </c>
      <c r="AA84" s="726">
        <v>0</v>
      </c>
      <c r="AB84" s="726"/>
      <c r="AC84" s="726"/>
      <c r="AD84" s="726">
        <v>304410</v>
      </c>
      <c r="AF84" s="727">
        <v>304410</v>
      </c>
    </row>
    <row r="85" spans="1:32" ht="12.75">
      <c r="A85" s="1450"/>
      <c r="B85" s="725" t="s">
        <v>194</v>
      </c>
      <c r="C85" s="726">
        <v>25342</v>
      </c>
      <c r="D85" s="726">
        <v>17516</v>
      </c>
      <c r="E85" s="726"/>
      <c r="F85" s="726">
        <v>6295</v>
      </c>
      <c r="G85" s="726"/>
      <c r="H85" s="726">
        <v>2400</v>
      </c>
      <c r="I85" s="726"/>
      <c r="J85" s="726"/>
      <c r="K85" s="726"/>
      <c r="L85" s="726"/>
      <c r="M85" s="726">
        <v>3170</v>
      </c>
      <c r="N85" s="726"/>
      <c r="O85" s="726"/>
      <c r="P85" s="726"/>
      <c r="Q85" s="726">
        <v>37207</v>
      </c>
      <c r="R85" s="1450"/>
      <c r="S85" s="725" t="s">
        <v>194</v>
      </c>
      <c r="T85" s="726">
        <v>142980</v>
      </c>
      <c r="U85" s="726">
        <v>38355</v>
      </c>
      <c r="V85" s="726">
        <v>126889</v>
      </c>
      <c r="W85" s="726">
        <v>42840</v>
      </c>
      <c r="X85" s="726">
        <v>3000</v>
      </c>
      <c r="Y85" s="726">
        <v>0</v>
      </c>
      <c r="Z85" s="726">
        <v>0</v>
      </c>
      <c r="AA85" s="726">
        <v>0</v>
      </c>
      <c r="AB85" s="726"/>
      <c r="AC85" s="726"/>
      <c r="AD85" s="726">
        <v>311224</v>
      </c>
      <c r="AF85" s="727"/>
    </row>
    <row r="86" spans="1:32" ht="12.75">
      <c r="A86" s="1450"/>
      <c r="B86" s="725" t="s">
        <v>195</v>
      </c>
      <c r="C86" s="726">
        <v>25608</v>
      </c>
      <c r="D86" s="726">
        <v>17516</v>
      </c>
      <c r="E86" s="726"/>
      <c r="F86" s="726">
        <v>6295</v>
      </c>
      <c r="G86" s="726"/>
      <c r="H86" s="726">
        <v>6919</v>
      </c>
      <c r="I86" s="726"/>
      <c r="J86" s="726">
        <v>6000</v>
      </c>
      <c r="K86" s="726"/>
      <c r="L86" s="726"/>
      <c r="M86" s="726">
        <v>3170</v>
      </c>
      <c r="N86" s="726"/>
      <c r="O86" s="726"/>
      <c r="P86" s="726"/>
      <c r="Q86" s="726">
        <v>47992</v>
      </c>
      <c r="R86" s="1450"/>
      <c r="S86" s="725" t="s">
        <v>195</v>
      </c>
      <c r="T86" s="726">
        <v>146316</v>
      </c>
      <c r="U86" s="726">
        <v>39260</v>
      </c>
      <c r="V86" s="726">
        <v>136644</v>
      </c>
      <c r="W86" s="726">
        <v>42840</v>
      </c>
      <c r="X86" s="726">
        <v>3000</v>
      </c>
      <c r="Y86" s="726">
        <v>0</v>
      </c>
      <c r="Z86" s="726">
        <v>1300</v>
      </c>
      <c r="AA86" s="726">
        <v>0</v>
      </c>
      <c r="AB86" s="726"/>
      <c r="AC86" s="726"/>
      <c r="AD86" s="726">
        <v>326520</v>
      </c>
      <c r="AF86" s="727"/>
    </row>
    <row r="87" spans="1:32" ht="12.75">
      <c r="A87" s="1451"/>
      <c r="B87" s="725" t="s">
        <v>198</v>
      </c>
      <c r="C87" s="726">
        <v>25608</v>
      </c>
      <c r="D87" s="726">
        <v>17516</v>
      </c>
      <c r="E87" s="726"/>
      <c r="F87" s="726">
        <v>10804</v>
      </c>
      <c r="G87" s="726"/>
      <c r="H87" s="726">
        <v>9090</v>
      </c>
      <c r="I87" s="726"/>
      <c r="J87" s="726">
        <v>12642</v>
      </c>
      <c r="K87" s="726"/>
      <c r="L87" s="726"/>
      <c r="M87" s="726">
        <v>3170</v>
      </c>
      <c r="N87" s="726"/>
      <c r="O87" s="726"/>
      <c r="P87" s="726"/>
      <c r="Q87" s="726">
        <v>61314</v>
      </c>
      <c r="R87" s="1451"/>
      <c r="S87" s="725" t="s">
        <v>198</v>
      </c>
      <c r="T87" s="726">
        <v>152694</v>
      </c>
      <c r="U87" s="726">
        <v>40981</v>
      </c>
      <c r="V87" s="726">
        <v>145925</v>
      </c>
      <c r="W87" s="726">
        <v>42840</v>
      </c>
      <c r="X87" s="726">
        <v>3455</v>
      </c>
      <c r="Y87" s="726">
        <v>0</v>
      </c>
      <c r="Z87" s="726">
        <v>1300</v>
      </c>
      <c r="AA87" s="726">
        <v>0</v>
      </c>
      <c r="AB87" s="726"/>
      <c r="AC87" s="726"/>
      <c r="AD87" s="726">
        <v>344355</v>
      </c>
      <c r="AF87" s="727"/>
    </row>
    <row r="88" spans="1:32" ht="12.75">
      <c r="A88" s="1451"/>
      <c r="B88" s="725" t="s">
        <v>197</v>
      </c>
      <c r="C88" s="726">
        <v>25608</v>
      </c>
      <c r="D88" s="726">
        <v>17516</v>
      </c>
      <c r="E88" s="726"/>
      <c r="F88" s="726">
        <v>10804</v>
      </c>
      <c r="G88" s="726"/>
      <c r="H88" s="726">
        <v>9090</v>
      </c>
      <c r="I88" s="726"/>
      <c r="J88" s="726">
        <v>12642</v>
      </c>
      <c r="K88" s="726"/>
      <c r="L88" s="726"/>
      <c r="M88" s="726">
        <v>3170</v>
      </c>
      <c r="N88" s="726"/>
      <c r="O88" s="726"/>
      <c r="P88" s="726"/>
      <c r="Q88" s="726">
        <v>61314</v>
      </c>
      <c r="R88" s="1451"/>
      <c r="S88" s="725" t="s">
        <v>197</v>
      </c>
      <c r="T88" s="726">
        <v>153353</v>
      </c>
      <c r="U88" s="726">
        <v>41141</v>
      </c>
      <c r="V88" s="726">
        <v>145106</v>
      </c>
      <c r="W88" s="726">
        <v>42840</v>
      </c>
      <c r="X88" s="726">
        <v>3455</v>
      </c>
      <c r="Y88" s="726">
        <v>0</v>
      </c>
      <c r="Z88" s="726">
        <v>2119</v>
      </c>
      <c r="AA88" s="726">
        <v>0</v>
      </c>
      <c r="AB88" s="726"/>
      <c r="AC88" s="726"/>
      <c r="AD88" s="726">
        <v>345174</v>
      </c>
      <c r="AF88" s="727"/>
    </row>
    <row r="89" spans="1:32" ht="12.75">
      <c r="A89" s="1452"/>
      <c r="B89" s="725" t="s">
        <v>824</v>
      </c>
      <c r="C89" s="726">
        <v>24705</v>
      </c>
      <c r="D89" s="726">
        <v>17836</v>
      </c>
      <c r="E89" s="726">
        <v>67</v>
      </c>
      <c r="F89" s="726">
        <v>9918</v>
      </c>
      <c r="G89" s="726"/>
      <c r="H89" s="726">
        <v>8782</v>
      </c>
      <c r="I89" s="726"/>
      <c r="J89" s="726">
        <v>9438</v>
      </c>
      <c r="K89" s="726"/>
      <c r="L89" s="726"/>
      <c r="M89" s="726">
        <v>3170</v>
      </c>
      <c r="N89" s="726">
        <v>32</v>
      </c>
      <c r="O89" s="726">
        <v>3170</v>
      </c>
      <c r="P89" s="726"/>
      <c r="Q89" s="726">
        <v>59282</v>
      </c>
      <c r="R89" s="1452"/>
      <c r="S89" s="725" t="s">
        <v>824</v>
      </c>
      <c r="T89" s="726">
        <v>153206</v>
      </c>
      <c r="U89" s="726">
        <v>40622</v>
      </c>
      <c r="V89" s="726">
        <v>143212</v>
      </c>
      <c r="W89" s="726">
        <v>45498</v>
      </c>
      <c r="X89" s="726">
        <v>3455</v>
      </c>
      <c r="Y89" s="726"/>
      <c r="Z89" s="726">
        <v>2119</v>
      </c>
      <c r="AA89" s="726"/>
      <c r="AB89" s="726"/>
      <c r="AC89" s="726">
        <v>-638</v>
      </c>
      <c r="AD89" s="726">
        <v>341976</v>
      </c>
      <c r="AF89" s="727"/>
    </row>
    <row r="90" spans="1:32" ht="11.25" customHeight="1">
      <c r="A90" s="1449" t="s">
        <v>814</v>
      </c>
      <c r="B90" s="725" t="s">
        <v>753</v>
      </c>
      <c r="C90" s="726">
        <v>4876</v>
      </c>
      <c r="D90" s="726">
        <v>4146</v>
      </c>
      <c r="E90" s="726"/>
      <c r="F90" s="726">
        <v>1249</v>
      </c>
      <c r="G90" s="726">
        <v>0</v>
      </c>
      <c r="H90" s="726">
        <v>0</v>
      </c>
      <c r="I90" s="726">
        <v>0</v>
      </c>
      <c r="J90" s="726">
        <v>0</v>
      </c>
      <c r="K90" s="726">
        <v>0</v>
      </c>
      <c r="L90" s="726">
        <v>0</v>
      </c>
      <c r="M90" s="726">
        <v>0</v>
      </c>
      <c r="N90" s="726">
        <v>0</v>
      </c>
      <c r="O90" s="726"/>
      <c r="P90" s="726"/>
      <c r="Q90" s="726">
        <v>6125</v>
      </c>
      <c r="R90" s="1449" t="s">
        <v>814</v>
      </c>
      <c r="S90" s="725" t="s">
        <v>753</v>
      </c>
      <c r="T90" s="726">
        <v>49845</v>
      </c>
      <c r="U90" s="726">
        <v>13403</v>
      </c>
      <c r="V90" s="726">
        <v>30298</v>
      </c>
      <c r="W90" s="726">
        <v>14604</v>
      </c>
      <c r="X90" s="726">
        <v>1200</v>
      </c>
      <c r="Y90" s="726">
        <v>0</v>
      </c>
      <c r="Z90" s="726">
        <v>0</v>
      </c>
      <c r="AA90" s="726">
        <v>0</v>
      </c>
      <c r="AB90" s="726"/>
      <c r="AC90" s="726"/>
      <c r="AD90" s="726">
        <v>94746</v>
      </c>
      <c r="AF90" s="727">
        <v>94746</v>
      </c>
    </row>
    <row r="91" spans="1:32" ht="12.75">
      <c r="A91" s="1450"/>
      <c r="B91" s="725" t="s">
        <v>194</v>
      </c>
      <c r="C91" s="726">
        <v>4876</v>
      </c>
      <c r="D91" s="726">
        <v>4146</v>
      </c>
      <c r="E91" s="726"/>
      <c r="F91" s="726">
        <v>1249</v>
      </c>
      <c r="G91" s="726"/>
      <c r="H91" s="726"/>
      <c r="I91" s="726"/>
      <c r="J91" s="726"/>
      <c r="K91" s="726"/>
      <c r="L91" s="726"/>
      <c r="M91" s="726">
        <v>22</v>
      </c>
      <c r="N91" s="726"/>
      <c r="O91" s="726"/>
      <c r="P91" s="726"/>
      <c r="Q91" s="726">
        <v>6147</v>
      </c>
      <c r="R91" s="1450"/>
      <c r="S91" s="725" t="s">
        <v>194</v>
      </c>
      <c r="T91" s="726">
        <v>50491</v>
      </c>
      <c r="U91" s="726">
        <v>13578</v>
      </c>
      <c r="V91" s="726">
        <v>30320</v>
      </c>
      <c r="W91" s="726">
        <v>14604</v>
      </c>
      <c r="X91" s="726">
        <v>1200</v>
      </c>
      <c r="Y91" s="726">
        <v>0</v>
      </c>
      <c r="Z91" s="726">
        <v>0</v>
      </c>
      <c r="AA91" s="726">
        <v>0</v>
      </c>
      <c r="AB91" s="726"/>
      <c r="AC91" s="726"/>
      <c r="AD91" s="726">
        <v>95589</v>
      </c>
      <c r="AF91" s="727"/>
    </row>
    <row r="92" spans="1:32" ht="12.75">
      <c r="A92" s="1450"/>
      <c r="B92" s="725" t="s">
        <v>195</v>
      </c>
      <c r="C92" s="726">
        <v>5116</v>
      </c>
      <c r="D92" s="726">
        <v>4146</v>
      </c>
      <c r="E92" s="726"/>
      <c r="F92" s="726">
        <v>1249</v>
      </c>
      <c r="G92" s="726"/>
      <c r="H92" s="726"/>
      <c r="I92" s="726"/>
      <c r="J92" s="726"/>
      <c r="K92" s="726"/>
      <c r="L92" s="726"/>
      <c r="M92" s="726">
        <v>22</v>
      </c>
      <c r="N92" s="726"/>
      <c r="O92" s="726"/>
      <c r="P92" s="726"/>
      <c r="Q92" s="726">
        <v>6387</v>
      </c>
      <c r="R92" s="1450"/>
      <c r="S92" s="725" t="s">
        <v>195</v>
      </c>
      <c r="T92" s="726">
        <v>51149</v>
      </c>
      <c r="U92" s="726">
        <v>13756</v>
      </c>
      <c r="V92" s="726">
        <v>31466</v>
      </c>
      <c r="W92" s="726">
        <v>14604</v>
      </c>
      <c r="X92" s="726">
        <v>1200</v>
      </c>
      <c r="Y92" s="726">
        <v>0</v>
      </c>
      <c r="Z92" s="726">
        <v>0</v>
      </c>
      <c r="AA92" s="726">
        <v>0</v>
      </c>
      <c r="AB92" s="726"/>
      <c r="AC92" s="726"/>
      <c r="AD92" s="726">
        <v>97571</v>
      </c>
      <c r="AF92" s="727"/>
    </row>
    <row r="93" spans="1:32" ht="12.75">
      <c r="A93" s="1451"/>
      <c r="B93" s="725" t="s">
        <v>198</v>
      </c>
      <c r="C93" s="726">
        <v>5116</v>
      </c>
      <c r="D93" s="726">
        <v>4146</v>
      </c>
      <c r="E93" s="726"/>
      <c r="F93" s="726">
        <v>1249</v>
      </c>
      <c r="G93" s="726"/>
      <c r="H93" s="726"/>
      <c r="I93" s="726"/>
      <c r="J93" s="726"/>
      <c r="K93" s="726"/>
      <c r="L93" s="726"/>
      <c r="M93" s="726">
        <v>22</v>
      </c>
      <c r="N93" s="726"/>
      <c r="O93" s="726"/>
      <c r="P93" s="726"/>
      <c r="Q93" s="726">
        <v>6387</v>
      </c>
      <c r="R93" s="1451"/>
      <c r="S93" s="725" t="s">
        <v>198</v>
      </c>
      <c r="T93" s="726">
        <v>51670</v>
      </c>
      <c r="U93" s="726">
        <v>13896</v>
      </c>
      <c r="V93" s="726">
        <v>31370</v>
      </c>
      <c r="W93" s="726">
        <v>14604</v>
      </c>
      <c r="X93" s="726">
        <v>1153</v>
      </c>
      <c r="Y93" s="726">
        <v>0</v>
      </c>
      <c r="Z93" s="726">
        <v>143</v>
      </c>
      <c r="AA93" s="726">
        <v>0</v>
      </c>
      <c r="AB93" s="726"/>
      <c r="AC93" s="726"/>
      <c r="AD93" s="726">
        <v>98232</v>
      </c>
      <c r="AF93" s="727"/>
    </row>
    <row r="94" spans="1:32" ht="12.75">
      <c r="A94" s="1451"/>
      <c r="B94" s="725" t="s">
        <v>197</v>
      </c>
      <c r="C94" s="726">
        <v>5116</v>
      </c>
      <c r="D94" s="726">
        <v>4146</v>
      </c>
      <c r="E94" s="726"/>
      <c r="F94" s="726">
        <v>1249</v>
      </c>
      <c r="G94" s="726"/>
      <c r="H94" s="726"/>
      <c r="I94" s="726"/>
      <c r="J94" s="726"/>
      <c r="K94" s="726"/>
      <c r="L94" s="726"/>
      <c r="M94" s="726">
        <v>22</v>
      </c>
      <c r="N94" s="726"/>
      <c r="O94" s="726"/>
      <c r="P94" s="726"/>
      <c r="Q94" s="726">
        <v>6387</v>
      </c>
      <c r="R94" s="1451"/>
      <c r="S94" s="725" t="s">
        <v>197</v>
      </c>
      <c r="T94" s="726">
        <v>51670</v>
      </c>
      <c r="U94" s="726">
        <v>13914</v>
      </c>
      <c r="V94" s="726">
        <v>31370</v>
      </c>
      <c r="W94" s="726">
        <v>14604</v>
      </c>
      <c r="X94" s="726">
        <v>1153</v>
      </c>
      <c r="Y94" s="726">
        <v>0</v>
      </c>
      <c r="Z94" s="726">
        <v>143</v>
      </c>
      <c r="AA94" s="726">
        <v>0</v>
      </c>
      <c r="AB94" s="726"/>
      <c r="AC94" s="726"/>
      <c r="AD94" s="726">
        <v>98250</v>
      </c>
      <c r="AF94" s="727"/>
    </row>
    <row r="95" spans="1:32" ht="12.75">
      <c r="A95" s="1452"/>
      <c r="B95" s="725" t="s">
        <v>824</v>
      </c>
      <c r="C95" s="726">
        <v>5099</v>
      </c>
      <c r="D95" s="726">
        <v>4544</v>
      </c>
      <c r="E95" s="726"/>
      <c r="F95" s="726">
        <v>1297</v>
      </c>
      <c r="G95" s="726"/>
      <c r="H95" s="726"/>
      <c r="I95" s="726"/>
      <c r="J95" s="726"/>
      <c r="K95" s="726"/>
      <c r="L95" s="726"/>
      <c r="M95" s="726">
        <v>22</v>
      </c>
      <c r="N95" s="726">
        <v>22</v>
      </c>
      <c r="O95" s="726">
        <v>22</v>
      </c>
      <c r="P95" s="726"/>
      <c r="Q95" s="726">
        <v>6462</v>
      </c>
      <c r="R95" s="1452"/>
      <c r="S95" s="725" t="s">
        <v>824</v>
      </c>
      <c r="T95" s="726">
        <v>51358</v>
      </c>
      <c r="U95" s="726">
        <v>13911</v>
      </c>
      <c r="V95" s="726">
        <v>27827</v>
      </c>
      <c r="W95" s="726">
        <v>13146</v>
      </c>
      <c r="X95" s="726">
        <v>1153</v>
      </c>
      <c r="Y95" s="726"/>
      <c r="Z95" s="726">
        <v>143</v>
      </c>
      <c r="AA95" s="726"/>
      <c r="AB95" s="726"/>
      <c r="AC95" s="726">
        <v>668</v>
      </c>
      <c r="AD95" s="726">
        <v>95060</v>
      </c>
      <c r="AF95" s="727"/>
    </row>
    <row r="96" spans="1:32" s="730" customFormat="1" ht="12.75">
      <c r="A96" s="1453" t="s">
        <v>834</v>
      </c>
      <c r="B96" s="728" t="s">
        <v>753</v>
      </c>
      <c r="C96" s="729">
        <v>29462</v>
      </c>
      <c r="D96" s="729">
        <v>21662</v>
      </c>
      <c r="E96" s="729"/>
      <c r="F96" s="729">
        <v>7544</v>
      </c>
      <c r="G96" s="729">
        <v>0</v>
      </c>
      <c r="H96" s="729">
        <v>2300</v>
      </c>
      <c r="I96" s="729">
        <v>0</v>
      </c>
      <c r="J96" s="729">
        <v>0</v>
      </c>
      <c r="K96" s="729">
        <v>0</v>
      </c>
      <c r="L96" s="729">
        <v>0</v>
      </c>
      <c r="M96" s="729">
        <v>0</v>
      </c>
      <c r="N96" s="729">
        <v>0</v>
      </c>
      <c r="O96" s="729"/>
      <c r="P96" s="729"/>
      <c r="Q96" s="729">
        <v>39306</v>
      </c>
      <c r="R96" s="1453" t="s">
        <v>834</v>
      </c>
      <c r="S96" s="728" t="s">
        <v>753</v>
      </c>
      <c r="T96" s="729">
        <v>191051</v>
      </c>
      <c r="U96" s="729">
        <v>51281</v>
      </c>
      <c r="V96" s="729">
        <v>152624</v>
      </c>
      <c r="W96" s="729">
        <v>57444</v>
      </c>
      <c r="X96" s="729">
        <v>4200</v>
      </c>
      <c r="Y96" s="729">
        <v>0</v>
      </c>
      <c r="Z96" s="729">
        <v>0</v>
      </c>
      <c r="AA96" s="729">
        <v>0</v>
      </c>
      <c r="AB96" s="729"/>
      <c r="AC96" s="729"/>
      <c r="AD96" s="729">
        <v>399156</v>
      </c>
      <c r="AF96" s="727">
        <v>399156</v>
      </c>
    </row>
    <row r="97" spans="1:32" s="730" customFormat="1" ht="12.75">
      <c r="A97" s="1454"/>
      <c r="B97" s="725" t="s">
        <v>194</v>
      </c>
      <c r="C97" s="729">
        <v>30218</v>
      </c>
      <c r="D97" s="729">
        <v>21662</v>
      </c>
      <c r="E97" s="729"/>
      <c r="F97" s="729">
        <v>7544</v>
      </c>
      <c r="G97" s="729">
        <v>0</v>
      </c>
      <c r="H97" s="729">
        <v>2400</v>
      </c>
      <c r="I97" s="729">
        <v>0</v>
      </c>
      <c r="J97" s="729">
        <v>0</v>
      </c>
      <c r="K97" s="729">
        <v>0</v>
      </c>
      <c r="L97" s="729">
        <v>0</v>
      </c>
      <c r="M97" s="729">
        <v>3192</v>
      </c>
      <c r="N97" s="729">
        <v>0</v>
      </c>
      <c r="O97" s="729"/>
      <c r="P97" s="729"/>
      <c r="Q97" s="729">
        <v>43354</v>
      </c>
      <c r="R97" s="1454"/>
      <c r="S97" s="725" t="s">
        <v>194</v>
      </c>
      <c r="T97" s="729">
        <v>193471</v>
      </c>
      <c r="U97" s="729">
        <v>51933</v>
      </c>
      <c r="V97" s="729">
        <v>157209</v>
      </c>
      <c r="W97" s="729">
        <v>57444</v>
      </c>
      <c r="X97" s="729">
        <v>4200</v>
      </c>
      <c r="Y97" s="729">
        <v>0</v>
      </c>
      <c r="Z97" s="729">
        <v>0</v>
      </c>
      <c r="AA97" s="729">
        <v>0</v>
      </c>
      <c r="AB97" s="729"/>
      <c r="AC97" s="729"/>
      <c r="AD97" s="729">
        <v>406813</v>
      </c>
      <c r="AF97" s="727"/>
    </row>
    <row r="98" spans="1:32" s="730" customFormat="1" ht="12.75">
      <c r="A98" s="1454"/>
      <c r="B98" s="725" t="s">
        <v>195</v>
      </c>
      <c r="C98" s="729">
        <v>30724</v>
      </c>
      <c r="D98" s="729">
        <v>21662</v>
      </c>
      <c r="E98" s="729"/>
      <c r="F98" s="729">
        <v>7544</v>
      </c>
      <c r="G98" s="729">
        <v>0</v>
      </c>
      <c r="H98" s="729">
        <v>6919</v>
      </c>
      <c r="I98" s="729">
        <v>0</v>
      </c>
      <c r="J98" s="729">
        <v>6000</v>
      </c>
      <c r="K98" s="729">
        <v>0</v>
      </c>
      <c r="L98" s="729">
        <v>0</v>
      </c>
      <c r="M98" s="729">
        <v>3192</v>
      </c>
      <c r="N98" s="729">
        <v>0</v>
      </c>
      <c r="O98" s="729"/>
      <c r="P98" s="729"/>
      <c r="Q98" s="729">
        <v>54379</v>
      </c>
      <c r="R98" s="1454"/>
      <c r="S98" s="725" t="s">
        <v>195</v>
      </c>
      <c r="T98" s="729">
        <v>197465</v>
      </c>
      <c r="U98" s="729">
        <v>53016</v>
      </c>
      <c r="V98" s="729">
        <v>168110</v>
      </c>
      <c r="W98" s="729">
        <v>57444</v>
      </c>
      <c r="X98" s="729">
        <v>4200</v>
      </c>
      <c r="Y98" s="729">
        <v>0</v>
      </c>
      <c r="Z98" s="729">
        <v>1300</v>
      </c>
      <c r="AA98" s="729">
        <v>0</v>
      </c>
      <c r="AB98" s="729"/>
      <c r="AC98" s="729"/>
      <c r="AD98" s="729">
        <v>424091</v>
      </c>
      <c r="AF98" s="727"/>
    </row>
    <row r="99" spans="1:32" s="730" customFormat="1" ht="12.75">
      <c r="A99" s="1451"/>
      <c r="B99" s="725" t="s">
        <v>198</v>
      </c>
      <c r="C99" s="729">
        <v>30724</v>
      </c>
      <c r="D99" s="729">
        <v>21662</v>
      </c>
      <c r="E99" s="729"/>
      <c r="F99" s="729">
        <v>12053</v>
      </c>
      <c r="G99" s="729"/>
      <c r="H99" s="729">
        <v>9090</v>
      </c>
      <c r="I99" s="729">
        <v>0</v>
      </c>
      <c r="J99" s="729">
        <v>12642</v>
      </c>
      <c r="K99" s="729">
        <v>0</v>
      </c>
      <c r="L99" s="729">
        <v>0</v>
      </c>
      <c r="M99" s="729">
        <v>3192</v>
      </c>
      <c r="N99" s="729">
        <v>0</v>
      </c>
      <c r="O99" s="729"/>
      <c r="P99" s="729"/>
      <c r="Q99" s="729">
        <v>67701</v>
      </c>
      <c r="R99" s="1451"/>
      <c r="S99" s="725" t="s">
        <v>198</v>
      </c>
      <c r="T99" s="729">
        <v>204364</v>
      </c>
      <c r="U99" s="729">
        <v>54877</v>
      </c>
      <c r="V99" s="729">
        <v>177295</v>
      </c>
      <c r="W99" s="729">
        <v>57444</v>
      </c>
      <c r="X99" s="729">
        <v>4608</v>
      </c>
      <c r="Y99" s="729">
        <v>0</v>
      </c>
      <c r="Z99" s="729">
        <v>1443</v>
      </c>
      <c r="AA99" s="729">
        <v>0</v>
      </c>
      <c r="AB99" s="729"/>
      <c r="AC99" s="729"/>
      <c r="AD99" s="729">
        <v>442587</v>
      </c>
      <c r="AE99" s="731">
        <v>0</v>
      </c>
      <c r="AF99" s="731">
        <v>0</v>
      </c>
    </row>
    <row r="100" spans="1:32" s="730" customFormat="1" ht="12.75">
      <c r="A100" s="1451"/>
      <c r="B100" s="725" t="s">
        <v>197</v>
      </c>
      <c r="C100" s="729">
        <v>30724</v>
      </c>
      <c r="D100" s="729">
        <v>21662</v>
      </c>
      <c r="E100" s="729"/>
      <c r="F100" s="729">
        <v>12053</v>
      </c>
      <c r="G100" s="729"/>
      <c r="H100" s="729">
        <v>9090</v>
      </c>
      <c r="I100" s="729">
        <v>0</v>
      </c>
      <c r="J100" s="729">
        <v>12642</v>
      </c>
      <c r="K100" s="729">
        <v>0</v>
      </c>
      <c r="L100" s="729">
        <v>0</v>
      </c>
      <c r="M100" s="729">
        <v>3192</v>
      </c>
      <c r="N100" s="729">
        <v>0</v>
      </c>
      <c r="O100" s="729"/>
      <c r="P100" s="729"/>
      <c r="Q100" s="729">
        <v>67701</v>
      </c>
      <c r="R100" s="1451"/>
      <c r="S100" s="725" t="s">
        <v>197</v>
      </c>
      <c r="T100" s="729">
        <v>205023</v>
      </c>
      <c r="U100" s="729">
        <v>55055</v>
      </c>
      <c r="V100" s="729">
        <v>176476</v>
      </c>
      <c r="W100" s="729">
        <v>57444</v>
      </c>
      <c r="X100" s="729">
        <v>4608</v>
      </c>
      <c r="Y100" s="729">
        <v>0</v>
      </c>
      <c r="Z100" s="729">
        <v>2262</v>
      </c>
      <c r="AA100" s="729">
        <v>0</v>
      </c>
      <c r="AB100" s="729"/>
      <c r="AC100" s="729"/>
      <c r="AD100" s="729">
        <v>443424</v>
      </c>
      <c r="AF100" s="727"/>
    </row>
    <row r="101" spans="1:32" s="730" customFormat="1" ht="12.75">
      <c r="A101" s="1452"/>
      <c r="B101" s="725" t="s">
        <v>824</v>
      </c>
      <c r="C101" s="729">
        <v>29804</v>
      </c>
      <c r="D101" s="729">
        <v>22380</v>
      </c>
      <c r="E101" s="729">
        <v>67</v>
      </c>
      <c r="F101" s="729">
        <v>11215</v>
      </c>
      <c r="G101" s="729"/>
      <c r="H101" s="729">
        <v>8782</v>
      </c>
      <c r="I101" s="729">
        <v>0</v>
      </c>
      <c r="J101" s="729">
        <v>9438</v>
      </c>
      <c r="K101" s="729">
        <v>0</v>
      </c>
      <c r="L101" s="729">
        <v>0</v>
      </c>
      <c r="M101" s="729">
        <v>3192</v>
      </c>
      <c r="N101" s="729">
        <v>54</v>
      </c>
      <c r="O101" s="729">
        <v>3192</v>
      </c>
      <c r="P101" s="729"/>
      <c r="Q101" s="729">
        <v>65744</v>
      </c>
      <c r="R101" s="1452"/>
      <c r="S101" s="725" t="s">
        <v>824</v>
      </c>
      <c r="T101" s="729">
        <v>204564</v>
      </c>
      <c r="U101" s="729">
        <v>54533</v>
      </c>
      <c r="V101" s="729">
        <v>171039</v>
      </c>
      <c r="W101" s="729">
        <v>58644</v>
      </c>
      <c r="X101" s="729">
        <v>4608</v>
      </c>
      <c r="Y101" s="729">
        <v>0</v>
      </c>
      <c r="Z101" s="729">
        <v>2262</v>
      </c>
      <c r="AA101" s="729">
        <v>0</v>
      </c>
      <c r="AB101" s="729"/>
      <c r="AC101" s="729">
        <v>30</v>
      </c>
      <c r="AD101" s="729">
        <v>437036</v>
      </c>
      <c r="AF101" s="727"/>
    </row>
    <row r="102" spans="1:32" ht="12.75">
      <c r="A102" s="1449" t="s">
        <v>835</v>
      </c>
      <c r="B102" s="725" t="s">
        <v>753</v>
      </c>
      <c r="C102" s="726">
        <v>4740</v>
      </c>
      <c r="D102" s="726">
        <v>0</v>
      </c>
      <c r="E102" s="726"/>
      <c r="F102" s="726">
        <v>0</v>
      </c>
      <c r="G102" s="726">
        <v>0</v>
      </c>
      <c r="H102" s="726">
        <v>0</v>
      </c>
      <c r="I102" s="726">
        <v>0</v>
      </c>
      <c r="J102" s="726">
        <v>0</v>
      </c>
      <c r="K102" s="726">
        <v>0</v>
      </c>
      <c r="L102" s="726">
        <v>0</v>
      </c>
      <c r="M102" s="726">
        <v>0</v>
      </c>
      <c r="N102" s="726">
        <v>0</v>
      </c>
      <c r="O102" s="726"/>
      <c r="P102" s="726"/>
      <c r="Q102" s="726">
        <v>4740</v>
      </c>
      <c r="R102" s="1449" t="s">
        <v>835</v>
      </c>
      <c r="S102" s="725" t="s">
        <v>753</v>
      </c>
      <c r="T102" s="726">
        <v>51244</v>
      </c>
      <c r="U102" s="726">
        <v>13632</v>
      </c>
      <c r="V102" s="726">
        <v>4470</v>
      </c>
      <c r="W102" s="726">
        <v>0</v>
      </c>
      <c r="X102" s="726">
        <v>0</v>
      </c>
      <c r="Y102" s="726">
        <v>0</v>
      </c>
      <c r="Z102" s="726">
        <v>0</v>
      </c>
      <c r="AA102" s="726">
        <v>0</v>
      </c>
      <c r="AB102" s="726"/>
      <c r="AC102" s="726"/>
      <c r="AD102" s="726">
        <v>69346</v>
      </c>
      <c r="AF102" s="727">
        <v>69346</v>
      </c>
    </row>
    <row r="103" spans="1:32" ht="12.75">
      <c r="A103" s="1450"/>
      <c r="B103" s="725" t="s">
        <v>194</v>
      </c>
      <c r="C103" s="726">
        <v>4740</v>
      </c>
      <c r="D103" s="726"/>
      <c r="E103" s="726"/>
      <c r="F103" s="726"/>
      <c r="G103" s="726"/>
      <c r="H103" s="726"/>
      <c r="I103" s="726"/>
      <c r="J103" s="726"/>
      <c r="K103" s="726"/>
      <c r="L103" s="726"/>
      <c r="M103" s="726">
        <v>329</v>
      </c>
      <c r="N103" s="726"/>
      <c r="O103" s="726"/>
      <c r="P103" s="726"/>
      <c r="Q103" s="726">
        <v>5069</v>
      </c>
      <c r="R103" s="1450"/>
      <c r="S103" s="725" t="s">
        <v>194</v>
      </c>
      <c r="T103" s="726">
        <v>51946</v>
      </c>
      <c r="U103" s="726">
        <v>13822</v>
      </c>
      <c r="V103" s="726">
        <v>4693</v>
      </c>
      <c r="W103" s="726">
        <v>0</v>
      </c>
      <c r="X103" s="726">
        <v>0</v>
      </c>
      <c r="Y103" s="726">
        <v>0</v>
      </c>
      <c r="Z103" s="726">
        <v>0</v>
      </c>
      <c r="AA103" s="726">
        <v>0</v>
      </c>
      <c r="AB103" s="726"/>
      <c r="AC103" s="726"/>
      <c r="AD103" s="726">
        <v>70461</v>
      </c>
      <c r="AF103" s="727"/>
    </row>
    <row r="104" spans="1:32" ht="12.75">
      <c r="A104" s="1450"/>
      <c r="B104" s="725" t="s">
        <v>195</v>
      </c>
      <c r="C104" s="726">
        <v>6473</v>
      </c>
      <c r="D104" s="726"/>
      <c r="E104" s="726"/>
      <c r="F104" s="726"/>
      <c r="G104" s="726"/>
      <c r="H104" s="726"/>
      <c r="I104" s="726"/>
      <c r="J104" s="726"/>
      <c r="K104" s="726"/>
      <c r="L104" s="726"/>
      <c r="M104" s="726">
        <v>329</v>
      </c>
      <c r="N104" s="726"/>
      <c r="O104" s="726"/>
      <c r="P104" s="726"/>
      <c r="Q104" s="726">
        <v>6802</v>
      </c>
      <c r="R104" s="1450"/>
      <c r="S104" s="725" t="s">
        <v>195</v>
      </c>
      <c r="T104" s="726">
        <v>58108</v>
      </c>
      <c r="U104" s="726">
        <v>15487</v>
      </c>
      <c r="V104" s="726">
        <v>6295</v>
      </c>
      <c r="W104" s="726">
        <v>0</v>
      </c>
      <c r="X104" s="726">
        <v>0</v>
      </c>
      <c r="Y104" s="726">
        <v>0</v>
      </c>
      <c r="Z104" s="726">
        <v>0</v>
      </c>
      <c r="AA104" s="726">
        <v>0</v>
      </c>
      <c r="AB104" s="726"/>
      <c r="AC104" s="726"/>
      <c r="AD104" s="726">
        <v>79890</v>
      </c>
      <c r="AF104" s="727"/>
    </row>
    <row r="105" spans="1:32" ht="12.75">
      <c r="A105" s="1451"/>
      <c r="B105" s="725" t="s">
        <v>198</v>
      </c>
      <c r="C105" s="726">
        <v>6473</v>
      </c>
      <c r="D105" s="726"/>
      <c r="E105" s="726"/>
      <c r="F105" s="726"/>
      <c r="G105" s="726"/>
      <c r="H105" s="726"/>
      <c r="I105" s="726"/>
      <c r="J105" s="726"/>
      <c r="K105" s="726"/>
      <c r="L105" s="726"/>
      <c r="M105" s="726">
        <v>329</v>
      </c>
      <c r="N105" s="726"/>
      <c r="O105" s="726"/>
      <c r="P105" s="726"/>
      <c r="Q105" s="726">
        <v>6802</v>
      </c>
      <c r="R105" s="1451"/>
      <c r="S105" s="725" t="s">
        <v>198</v>
      </c>
      <c r="T105" s="726">
        <v>58079</v>
      </c>
      <c r="U105" s="726">
        <v>15479</v>
      </c>
      <c r="V105" s="726">
        <v>6895</v>
      </c>
      <c r="W105" s="726">
        <v>0</v>
      </c>
      <c r="X105" s="726">
        <v>0</v>
      </c>
      <c r="Y105" s="726">
        <v>0</v>
      </c>
      <c r="Z105" s="726">
        <v>0</v>
      </c>
      <c r="AA105" s="726">
        <v>0</v>
      </c>
      <c r="AB105" s="726"/>
      <c r="AC105" s="726"/>
      <c r="AD105" s="726">
        <v>80453</v>
      </c>
      <c r="AF105" s="727"/>
    </row>
    <row r="106" spans="1:32" ht="12.75">
      <c r="A106" s="1451"/>
      <c r="B106" s="725" t="s">
        <v>197</v>
      </c>
      <c r="C106" s="726">
        <v>6473</v>
      </c>
      <c r="D106" s="726"/>
      <c r="E106" s="726"/>
      <c r="F106" s="726"/>
      <c r="G106" s="726"/>
      <c r="H106" s="726"/>
      <c r="I106" s="726"/>
      <c r="J106" s="726"/>
      <c r="K106" s="726"/>
      <c r="L106" s="726"/>
      <c r="M106" s="726">
        <v>329</v>
      </c>
      <c r="N106" s="726"/>
      <c r="O106" s="726"/>
      <c r="P106" s="726"/>
      <c r="Q106" s="726">
        <v>6802</v>
      </c>
      <c r="R106" s="1451"/>
      <c r="S106" s="725" t="s">
        <v>197</v>
      </c>
      <c r="T106" s="726">
        <v>58190</v>
      </c>
      <c r="U106" s="726">
        <v>15509</v>
      </c>
      <c r="V106" s="726">
        <v>6895</v>
      </c>
      <c r="W106" s="726">
        <v>0</v>
      </c>
      <c r="X106" s="726">
        <v>0</v>
      </c>
      <c r="Y106" s="726">
        <v>0</v>
      </c>
      <c r="Z106" s="726">
        <v>0</v>
      </c>
      <c r="AA106" s="726">
        <v>0</v>
      </c>
      <c r="AB106" s="726"/>
      <c r="AC106" s="726"/>
      <c r="AD106" s="726">
        <v>80594</v>
      </c>
      <c r="AF106" s="727"/>
    </row>
    <row r="107" spans="1:32" ht="12.75">
      <c r="A107" s="1452"/>
      <c r="B107" s="725" t="s">
        <v>824</v>
      </c>
      <c r="C107" s="726">
        <v>7404</v>
      </c>
      <c r="D107" s="726"/>
      <c r="E107" s="726">
        <v>33</v>
      </c>
      <c r="F107" s="726"/>
      <c r="G107" s="726"/>
      <c r="H107" s="726"/>
      <c r="I107" s="726"/>
      <c r="J107" s="726"/>
      <c r="K107" s="726"/>
      <c r="L107" s="726"/>
      <c r="M107" s="726">
        <v>329</v>
      </c>
      <c r="N107" s="726">
        <v>329</v>
      </c>
      <c r="O107" s="726">
        <v>329</v>
      </c>
      <c r="P107" s="726"/>
      <c r="Q107" s="726">
        <v>8424</v>
      </c>
      <c r="R107" s="1452"/>
      <c r="S107" s="725" t="s">
        <v>824</v>
      </c>
      <c r="T107" s="726">
        <v>57208</v>
      </c>
      <c r="U107" s="726">
        <v>15157</v>
      </c>
      <c r="V107" s="726">
        <v>6510</v>
      </c>
      <c r="W107" s="726"/>
      <c r="X107" s="726"/>
      <c r="Y107" s="726"/>
      <c r="Z107" s="726"/>
      <c r="AA107" s="726"/>
      <c r="AB107" s="726"/>
      <c r="AC107" s="726"/>
      <c r="AD107" s="726">
        <v>78875</v>
      </c>
      <c r="AF107" s="727"/>
    </row>
    <row r="108" spans="1:32" ht="12" customHeight="1">
      <c r="A108" s="1449" t="s">
        <v>836</v>
      </c>
      <c r="B108" s="725" t="s">
        <v>753</v>
      </c>
      <c r="C108" s="726">
        <v>1230</v>
      </c>
      <c r="D108" s="726">
        <v>0</v>
      </c>
      <c r="E108" s="726"/>
      <c r="F108" s="726">
        <v>332</v>
      </c>
      <c r="G108" s="726">
        <v>0</v>
      </c>
      <c r="H108" s="726">
        <v>0</v>
      </c>
      <c r="I108" s="726">
        <v>0</v>
      </c>
      <c r="J108" s="726">
        <v>19927</v>
      </c>
      <c r="K108" s="726">
        <v>0</v>
      </c>
      <c r="L108" s="726">
        <v>0</v>
      </c>
      <c r="M108" s="726">
        <v>0</v>
      </c>
      <c r="N108" s="726">
        <v>0</v>
      </c>
      <c r="O108" s="726"/>
      <c r="P108" s="726"/>
      <c r="Q108" s="726">
        <v>21489</v>
      </c>
      <c r="R108" s="1449" t="s">
        <v>836</v>
      </c>
      <c r="S108" s="725" t="s">
        <v>753</v>
      </c>
      <c r="T108" s="726">
        <v>18916</v>
      </c>
      <c r="U108" s="726">
        <v>4986</v>
      </c>
      <c r="V108" s="726">
        <v>30481</v>
      </c>
      <c r="W108" s="726">
        <v>0</v>
      </c>
      <c r="X108" s="726">
        <v>0</v>
      </c>
      <c r="Y108" s="726">
        <v>0</v>
      </c>
      <c r="Z108" s="726">
        <v>0</v>
      </c>
      <c r="AA108" s="726">
        <v>0</v>
      </c>
      <c r="AB108" s="726"/>
      <c r="AC108" s="726"/>
      <c r="AD108" s="726">
        <v>54383</v>
      </c>
      <c r="AF108" s="727">
        <v>54383</v>
      </c>
    </row>
    <row r="109" spans="1:32" ht="12.75">
      <c r="A109" s="1450"/>
      <c r="B109" s="725" t="s">
        <v>194</v>
      </c>
      <c r="C109" s="726">
        <v>1230</v>
      </c>
      <c r="D109" s="726"/>
      <c r="E109" s="726"/>
      <c r="F109" s="726">
        <v>332</v>
      </c>
      <c r="G109" s="726"/>
      <c r="H109" s="726"/>
      <c r="I109" s="726"/>
      <c r="J109" s="726">
        <v>19927</v>
      </c>
      <c r="K109" s="726"/>
      <c r="L109" s="726"/>
      <c r="M109" s="726">
        <v>15035</v>
      </c>
      <c r="N109" s="726"/>
      <c r="O109" s="726"/>
      <c r="P109" s="726"/>
      <c r="Q109" s="726">
        <v>36524</v>
      </c>
      <c r="R109" s="1450"/>
      <c r="S109" s="725" t="s">
        <v>194</v>
      </c>
      <c r="T109" s="726">
        <v>20359</v>
      </c>
      <c r="U109" s="726">
        <v>5377</v>
      </c>
      <c r="V109" s="726">
        <v>44249</v>
      </c>
      <c r="W109" s="726">
        <v>0</v>
      </c>
      <c r="X109" s="726">
        <v>0</v>
      </c>
      <c r="Y109" s="726">
        <v>0</v>
      </c>
      <c r="Z109" s="726">
        <v>0</v>
      </c>
      <c r="AA109" s="726">
        <v>0</v>
      </c>
      <c r="AB109" s="726"/>
      <c r="AC109" s="726"/>
      <c r="AD109" s="726">
        <v>69985</v>
      </c>
      <c r="AF109" s="727"/>
    </row>
    <row r="110" spans="1:32" ht="12.75">
      <c r="A110" s="1450"/>
      <c r="B110" s="725" t="s">
        <v>195</v>
      </c>
      <c r="C110" s="726">
        <v>1230</v>
      </c>
      <c r="D110" s="726"/>
      <c r="E110" s="726"/>
      <c r="F110" s="726">
        <v>332</v>
      </c>
      <c r="G110" s="726"/>
      <c r="H110" s="726"/>
      <c r="I110" s="726"/>
      <c r="J110" s="726">
        <v>19927</v>
      </c>
      <c r="K110" s="726"/>
      <c r="L110" s="726"/>
      <c r="M110" s="726">
        <v>15035</v>
      </c>
      <c r="N110" s="726"/>
      <c r="O110" s="726"/>
      <c r="P110" s="726"/>
      <c r="Q110" s="726">
        <v>36524</v>
      </c>
      <c r="R110" s="1450"/>
      <c r="S110" s="725" t="s">
        <v>195</v>
      </c>
      <c r="T110" s="726">
        <v>20559</v>
      </c>
      <c r="U110" s="726">
        <v>5431</v>
      </c>
      <c r="V110" s="726">
        <v>45369</v>
      </c>
      <c r="W110" s="726">
        <v>0</v>
      </c>
      <c r="X110" s="726">
        <v>0</v>
      </c>
      <c r="Y110" s="726">
        <v>0</v>
      </c>
      <c r="Z110" s="726">
        <v>117</v>
      </c>
      <c r="AA110" s="726">
        <v>0</v>
      </c>
      <c r="AB110" s="726"/>
      <c r="AC110" s="726"/>
      <c r="AD110" s="726">
        <v>71476</v>
      </c>
      <c r="AF110" s="727"/>
    </row>
    <row r="111" spans="1:32" ht="12.75">
      <c r="A111" s="1451"/>
      <c r="B111" s="725" t="s">
        <v>198</v>
      </c>
      <c r="C111" s="726">
        <v>1230</v>
      </c>
      <c r="D111" s="726"/>
      <c r="E111" s="726"/>
      <c r="F111" s="726">
        <v>332</v>
      </c>
      <c r="G111" s="726"/>
      <c r="H111" s="726">
        <v>32</v>
      </c>
      <c r="I111" s="726"/>
      <c r="J111" s="726">
        <v>25367</v>
      </c>
      <c r="K111" s="726"/>
      <c r="L111" s="726"/>
      <c r="M111" s="726">
        <v>15035</v>
      </c>
      <c r="N111" s="726"/>
      <c r="O111" s="726"/>
      <c r="P111" s="726"/>
      <c r="Q111" s="726">
        <v>41996</v>
      </c>
      <c r="R111" s="1451"/>
      <c r="S111" s="725" t="s">
        <v>198</v>
      </c>
      <c r="T111" s="726">
        <v>21193</v>
      </c>
      <c r="U111" s="726">
        <v>5601</v>
      </c>
      <c r="V111" s="726">
        <v>50860</v>
      </c>
      <c r="W111" s="726">
        <v>0</v>
      </c>
      <c r="X111" s="726">
        <v>0</v>
      </c>
      <c r="Y111" s="726">
        <v>0</v>
      </c>
      <c r="Z111" s="726">
        <v>117</v>
      </c>
      <c r="AA111" s="726">
        <v>0</v>
      </c>
      <c r="AB111" s="726"/>
      <c r="AC111" s="726"/>
      <c r="AD111" s="726">
        <v>77771</v>
      </c>
      <c r="AF111" s="727"/>
    </row>
    <row r="112" spans="1:32" ht="12.75">
      <c r="A112" s="1451"/>
      <c r="B112" s="725" t="s">
        <v>197</v>
      </c>
      <c r="C112" s="726">
        <v>1230</v>
      </c>
      <c r="D112" s="726"/>
      <c r="E112" s="726"/>
      <c r="F112" s="726">
        <v>332</v>
      </c>
      <c r="G112" s="726"/>
      <c r="H112" s="726">
        <v>32</v>
      </c>
      <c r="I112" s="726"/>
      <c r="J112" s="726">
        <v>24109</v>
      </c>
      <c r="K112" s="726"/>
      <c r="L112" s="726"/>
      <c r="M112" s="726">
        <v>15035</v>
      </c>
      <c r="N112" s="726"/>
      <c r="O112" s="726"/>
      <c r="P112" s="726"/>
      <c r="Q112" s="726">
        <v>40738</v>
      </c>
      <c r="R112" s="1451"/>
      <c r="S112" s="725" t="s">
        <v>197</v>
      </c>
      <c r="T112" s="726">
        <v>21279</v>
      </c>
      <c r="U112" s="726">
        <v>5834</v>
      </c>
      <c r="V112" s="726">
        <v>50215</v>
      </c>
      <c r="W112" s="726">
        <v>0</v>
      </c>
      <c r="X112" s="726">
        <v>0</v>
      </c>
      <c r="Y112" s="726">
        <v>0</v>
      </c>
      <c r="Z112" s="726">
        <v>762</v>
      </c>
      <c r="AA112" s="726">
        <v>0</v>
      </c>
      <c r="AB112" s="726"/>
      <c r="AC112" s="726"/>
      <c r="AD112" s="726">
        <v>78090</v>
      </c>
      <c r="AF112" s="727"/>
    </row>
    <row r="113" spans="1:32" ht="12.75">
      <c r="A113" s="1452"/>
      <c r="B113" s="725" t="s">
        <v>824</v>
      </c>
      <c r="C113" s="726">
        <v>1332</v>
      </c>
      <c r="D113" s="726"/>
      <c r="E113" s="726">
        <v>136</v>
      </c>
      <c r="F113" s="726">
        <v>352</v>
      </c>
      <c r="G113" s="726"/>
      <c r="H113" s="726">
        <v>32</v>
      </c>
      <c r="I113" s="726"/>
      <c r="J113" s="726">
        <v>25607</v>
      </c>
      <c r="K113" s="726"/>
      <c r="L113" s="726"/>
      <c r="M113" s="726">
        <v>15035</v>
      </c>
      <c r="N113" s="726">
        <v>264</v>
      </c>
      <c r="O113" s="726">
        <v>15035</v>
      </c>
      <c r="P113" s="726"/>
      <c r="Q113" s="726">
        <v>57793</v>
      </c>
      <c r="R113" s="1452"/>
      <c r="S113" s="725" t="s">
        <v>824</v>
      </c>
      <c r="T113" s="726">
        <v>21174</v>
      </c>
      <c r="U113" s="726">
        <v>5833</v>
      </c>
      <c r="V113" s="726">
        <v>49736</v>
      </c>
      <c r="W113" s="726"/>
      <c r="X113" s="726"/>
      <c r="Y113" s="726"/>
      <c r="Z113" s="726">
        <v>762</v>
      </c>
      <c r="AA113" s="726"/>
      <c r="AB113" s="726"/>
      <c r="AC113" s="726">
        <v>121</v>
      </c>
      <c r="AD113" s="726">
        <v>77626</v>
      </c>
      <c r="AF113" s="727"/>
    </row>
    <row r="114" spans="1:32" ht="12.75" customHeight="1">
      <c r="A114" s="1449" t="s">
        <v>837</v>
      </c>
      <c r="B114" s="725" t="s">
        <v>753</v>
      </c>
      <c r="C114" s="726">
        <v>480</v>
      </c>
      <c r="D114" s="726">
        <v>0</v>
      </c>
      <c r="E114" s="726"/>
      <c r="F114" s="726">
        <v>130</v>
      </c>
      <c r="G114" s="726">
        <v>0</v>
      </c>
      <c r="H114" s="726">
        <v>0</v>
      </c>
      <c r="I114" s="726">
        <v>0</v>
      </c>
      <c r="J114" s="726">
        <v>0</v>
      </c>
      <c r="K114" s="726">
        <v>0</v>
      </c>
      <c r="L114" s="726">
        <v>0</v>
      </c>
      <c r="M114" s="726">
        <v>0</v>
      </c>
      <c r="N114" s="726">
        <v>0</v>
      </c>
      <c r="O114" s="726"/>
      <c r="P114" s="726"/>
      <c r="Q114" s="726">
        <v>610</v>
      </c>
      <c r="R114" s="1449" t="s">
        <v>837</v>
      </c>
      <c r="S114" s="725" t="s">
        <v>753</v>
      </c>
      <c r="T114" s="726">
        <v>1512</v>
      </c>
      <c r="U114" s="726">
        <v>408</v>
      </c>
      <c r="V114" s="726">
        <v>473</v>
      </c>
      <c r="W114" s="726">
        <v>0</v>
      </c>
      <c r="X114" s="726">
        <v>0</v>
      </c>
      <c r="Y114" s="726">
        <v>0</v>
      </c>
      <c r="Z114" s="726">
        <v>1362</v>
      </c>
      <c r="AA114" s="726">
        <v>0</v>
      </c>
      <c r="AB114" s="726"/>
      <c r="AC114" s="726"/>
      <c r="AD114" s="726">
        <v>3755</v>
      </c>
      <c r="AF114" s="727">
        <v>3755</v>
      </c>
    </row>
    <row r="115" spans="1:32" ht="12.75">
      <c r="A115" s="1450"/>
      <c r="B115" s="725" t="s">
        <v>194</v>
      </c>
      <c r="C115" s="726">
        <v>480</v>
      </c>
      <c r="D115" s="726">
        <v>0</v>
      </c>
      <c r="E115" s="726"/>
      <c r="F115" s="726">
        <v>130</v>
      </c>
      <c r="G115" s="726"/>
      <c r="H115" s="726"/>
      <c r="I115" s="726"/>
      <c r="J115" s="726"/>
      <c r="K115" s="726"/>
      <c r="L115" s="726"/>
      <c r="M115" s="726"/>
      <c r="N115" s="726"/>
      <c r="O115" s="726"/>
      <c r="P115" s="726"/>
      <c r="Q115" s="726">
        <v>610</v>
      </c>
      <c r="R115" s="1450"/>
      <c r="S115" s="725" t="s">
        <v>194</v>
      </c>
      <c r="T115" s="726">
        <v>1512</v>
      </c>
      <c r="U115" s="726">
        <v>408</v>
      </c>
      <c r="V115" s="726">
        <v>473</v>
      </c>
      <c r="W115" s="726">
        <v>0</v>
      </c>
      <c r="X115" s="726">
        <v>0</v>
      </c>
      <c r="Y115" s="726">
        <v>0</v>
      </c>
      <c r="Z115" s="726">
        <v>1362</v>
      </c>
      <c r="AA115" s="726">
        <v>0</v>
      </c>
      <c r="AB115" s="726"/>
      <c r="AC115" s="726"/>
      <c r="AD115" s="726">
        <v>3755</v>
      </c>
      <c r="AF115" s="727"/>
    </row>
    <row r="116" spans="1:32" ht="12.75">
      <c r="A116" s="1450"/>
      <c r="B116" s="725" t="s">
        <v>195</v>
      </c>
      <c r="C116" s="726">
        <v>480</v>
      </c>
      <c r="D116" s="726">
        <v>0</v>
      </c>
      <c r="E116" s="726"/>
      <c r="F116" s="726">
        <v>130</v>
      </c>
      <c r="G116" s="726"/>
      <c r="H116" s="726"/>
      <c r="I116" s="726"/>
      <c r="J116" s="726"/>
      <c r="K116" s="726"/>
      <c r="L116" s="726"/>
      <c r="M116" s="726"/>
      <c r="N116" s="726"/>
      <c r="O116" s="726"/>
      <c r="P116" s="726"/>
      <c r="Q116" s="726">
        <v>610</v>
      </c>
      <c r="R116" s="1450"/>
      <c r="S116" s="725" t="s">
        <v>195</v>
      </c>
      <c r="T116" s="726">
        <v>1512</v>
      </c>
      <c r="U116" s="726">
        <v>408</v>
      </c>
      <c r="V116" s="726">
        <v>473</v>
      </c>
      <c r="W116" s="726">
        <v>0</v>
      </c>
      <c r="X116" s="726">
        <v>0</v>
      </c>
      <c r="Y116" s="726">
        <v>0</v>
      </c>
      <c r="Z116" s="726">
        <v>1362</v>
      </c>
      <c r="AA116" s="726">
        <v>0</v>
      </c>
      <c r="AB116" s="726"/>
      <c r="AC116" s="726"/>
      <c r="AD116" s="726">
        <v>3755</v>
      </c>
      <c r="AF116" s="727"/>
    </row>
    <row r="117" spans="1:32" ht="12.75">
      <c r="A117" s="1451"/>
      <c r="B117" s="725" t="s">
        <v>198</v>
      </c>
      <c r="C117" s="726">
        <v>480</v>
      </c>
      <c r="D117" s="726">
        <v>0</v>
      </c>
      <c r="E117" s="726"/>
      <c r="F117" s="726">
        <v>130</v>
      </c>
      <c r="G117" s="726"/>
      <c r="H117" s="726"/>
      <c r="I117" s="726"/>
      <c r="J117" s="726"/>
      <c r="K117" s="726"/>
      <c r="L117" s="726"/>
      <c r="M117" s="726"/>
      <c r="N117" s="726"/>
      <c r="O117" s="726"/>
      <c r="P117" s="726"/>
      <c r="Q117" s="726">
        <v>610</v>
      </c>
      <c r="R117" s="1451"/>
      <c r="S117" s="725" t="s">
        <v>198</v>
      </c>
      <c r="T117" s="726">
        <v>1512</v>
      </c>
      <c r="U117" s="726">
        <v>408</v>
      </c>
      <c r="V117" s="726">
        <v>473</v>
      </c>
      <c r="W117" s="726">
        <v>0</v>
      </c>
      <c r="X117" s="726">
        <v>0</v>
      </c>
      <c r="Y117" s="726">
        <v>0</v>
      </c>
      <c r="Z117" s="726">
        <v>1362</v>
      </c>
      <c r="AA117" s="726">
        <v>0</v>
      </c>
      <c r="AB117" s="726"/>
      <c r="AC117" s="726"/>
      <c r="AD117" s="726">
        <v>3755</v>
      </c>
      <c r="AF117" s="727"/>
    </row>
    <row r="118" spans="1:32" ht="12.75">
      <c r="A118" s="1451"/>
      <c r="B118" s="725" t="s">
        <v>197</v>
      </c>
      <c r="C118" s="726">
        <v>480</v>
      </c>
      <c r="D118" s="726">
        <v>0</v>
      </c>
      <c r="E118" s="726"/>
      <c r="F118" s="726">
        <v>130</v>
      </c>
      <c r="G118" s="726"/>
      <c r="H118" s="726"/>
      <c r="I118" s="726"/>
      <c r="J118" s="726"/>
      <c r="K118" s="726"/>
      <c r="L118" s="726"/>
      <c r="M118" s="726"/>
      <c r="N118" s="726"/>
      <c r="O118" s="726"/>
      <c r="P118" s="726"/>
      <c r="Q118" s="726">
        <v>610</v>
      </c>
      <c r="R118" s="1451"/>
      <c r="S118" s="725" t="s">
        <v>197</v>
      </c>
      <c r="T118" s="726">
        <v>1714</v>
      </c>
      <c r="U118" s="726">
        <v>408</v>
      </c>
      <c r="V118" s="726">
        <v>1683</v>
      </c>
      <c r="W118" s="726">
        <v>0</v>
      </c>
      <c r="X118" s="726">
        <v>0</v>
      </c>
      <c r="Y118" s="726">
        <v>0</v>
      </c>
      <c r="Z118" s="726">
        <v>621</v>
      </c>
      <c r="AA118" s="726">
        <v>741</v>
      </c>
      <c r="AB118" s="726"/>
      <c r="AC118" s="726"/>
      <c r="AD118" s="726">
        <v>5167</v>
      </c>
      <c r="AF118" s="727"/>
    </row>
    <row r="119" spans="1:32" ht="12.75">
      <c r="A119" s="1452"/>
      <c r="B119" s="725" t="s">
        <v>824</v>
      </c>
      <c r="C119" s="726">
        <v>24</v>
      </c>
      <c r="D119" s="726"/>
      <c r="E119" s="726"/>
      <c r="F119" s="726"/>
      <c r="G119" s="726"/>
      <c r="H119" s="726"/>
      <c r="I119" s="726"/>
      <c r="J119" s="726"/>
      <c r="K119" s="726"/>
      <c r="L119" s="726"/>
      <c r="M119" s="726"/>
      <c r="N119" s="726"/>
      <c r="O119" s="726"/>
      <c r="P119" s="726"/>
      <c r="Q119" s="726">
        <v>24</v>
      </c>
      <c r="R119" s="1452"/>
      <c r="S119" s="725" t="s">
        <v>824</v>
      </c>
      <c r="T119" s="726">
        <v>1714</v>
      </c>
      <c r="U119" s="726">
        <v>19</v>
      </c>
      <c r="V119" s="726">
        <v>1678</v>
      </c>
      <c r="W119" s="726"/>
      <c r="X119" s="726"/>
      <c r="Y119" s="726"/>
      <c r="Z119" s="726">
        <v>508</v>
      </c>
      <c r="AA119" s="726">
        <v>741</v>
      </c>
      <c r="AB119" s="726"/>
      <c r="AC119" s="726">
        <v>321</v>
      </c>
      <c r="AD119" s="726">
        <v>4981</v>
      </c>
      <c r="AF119" s="727"/>
    </row>
    <row r="120" spans="1:32" ht="12.75">
      <c r="A120" s="1449" t="s">
        <v>838</v>
      </c>
      <c r="B120" s="725" t="s">
        <v>753</v>
      </c>
      <c r="C120" s="726">
        <v>0</v>
      </c>
      <c r="D120" s="726">
        <v>0</v>
      </c>
      <c r="E120" s="726"/>
      <c r="F120" s="726">
        <v>0</v>
      </c>
      <c r="G120" s="726">
        <v>0</v>
      </c>
      <c r="H120" s="726">
        <v>0</v>
      </c>
      <c r="I120" s="726">
        <v>0</v>
      </c>
      <c r="J120" s="726">
        <v>0</v>
      </c>
      <c r="K120" s="726">
        <v>0</v>
      </c>
      <c r="L120" s="726">
        <v>750</v>
      </c>
      <c r="M120" s="726">
        <v>0</v>
      </c>
      <c r="N120" s="726">
        <v>0</v>
      </c>
      <c r="O120" s="726"/>
      <c r="P120" s="726"/>
      <c r="Q120" s="726">
        <v>750</v>
      </c>
      <c r="R120" s="1449" t="s">
        <v>838</v>
      </c>
      <c r="S120" s="725" t="s">
        <v>753</v>
      </c>
      <c r="T120" s="726">
        <v>8091</v>
      </c>
      <c r="U120" s="726">
        <v>2116</v>
      </c>
      <c r="V120" s="726">
        <v>7436</v>
      </c>
      <c r="W120" s="726">
        <v>0</v>
      </c>
      <c r="X120" s="726">
        <v>0</v>
      </c>
      <c r="Y120" s="726">
        <v>0</v>
      </c>
      <c r="Z120" s="726">
        <v>4006</v>
      </c>
      <c r="AA120" s="726">
        <v>0</v>
      </c>
      <c r="AB120" s="726"/>
      <c r="AC120" s="726"/>
      <c r="AD120" s="726">
        <v>21649</v>
      </c>
      <c r="AF120" s="727">
        <v>21649</v>
      </c>
    </row>
    <row r="121" spans="1:32" ht="12.75">
      <c r="A121" s="1450"/>
      <c r="B121" s="725" t="s">
        <v>194</v>
      </c>
      <c r="C121" s="726"/>
      <c r="D121" s="726"/>
      <c r="E121" s="726"/>
      <c r="F121" s="726"/>
      <c r="G121" s="726"/>
      <c r="H121" s="726"/>
      <c r="I121" s="726"/>
      <c r="J121" s="726"/>
      <c r="K121" s="726"/>
      <c r="L121" s="726">
        <v>750</v>
      </c>
      <c r="M121" s="726"/>
      <c r="N121" s="726"/>
      <c r="O121" s="726"/>
      <c r="P121" s="726"/>
      <c r="Q121" s="726">
        <v>750</v>
      </c>
      <c r="R121" s="1450"/>
      <c r="S121" s="725" t="s">
        <v>194</v>
      </c>
      <c r="T121" s="726">
        <v>8212</v>
      </c>
      <c r="U121" s="726">
        <v>2148</v>
      </c>
      <c r="V121" s="726">
        <v>7436</v>
      </c>
      <c r="W121" s="726">
        <v>0</v>
      </c>
      <c r="X121" s="726">
        <v>0</v>
      </c>
      <c r="Y121" s="726">
        <v>0</v>
      </c>
      <c r="Z121" s="726">
        <v>4006</v>
      </c>
      <c r="AA121" s="726">
        <v>0</v>
      </c>
      <c r="AB121" s="726"/>
      <c r="AC121" s="726"/>
      <c r="AD121" s="726">
        <v>21802</v>
      </c>
      <c r="AF121" s="727"/>
    </row>
    <row r="122" spans="1:32" ht="12.75">
      <c r="A122" s="1450"/>
      <c r="B122" s="725" t="s">
        <v>195</v>
      </c>
      <c r="C122" s="726"/>
      <c r="D122" s="726"/>
      <c r="E122" s="726"/>
      <c r="F122" s="726"/>
      <c r="G122" s="726"/>
      <c r="H122" s="726"/>
      <c r="I122" s="726"/>
      <c r="J122" s="726"/>
      <c r="K122" s="726"/>
      <c r="L122" s="726">
        <v>750</v>
      </c>
      <c r="M122" s="726"/>
      <c r="N122" s="726"/>
      <c r="O122" s="726"/>
      <c r="P122" s="726"/>
      <c r="Q122" s="726">
        <v>750</v>
      </c>
      <c r="R122" s="1450"/>
      <c r="S122" s="725" t="s">
        <v>195</v>
      </c>
      <c r="T122" s="726">
        <v>8288</v>
      </c>
      <c r="U122" s="726">
        <v>2168</v>
      </c>
      <c r="V122" s="726">
        <v>7436</v>
      </c>
      <c r="W122" s="726">
        <v>0</v>
      </c>
      <c r="X122" s="726">
        <v>0</v>
      </c>
      <c r="Y122" s="726">
        <v>0</v>
      </c>
      <c r="Z122" s="726">
        <v>4006</v>
      </c>
      <c r="AA122" s="726">
        <v>0</v>
      </c>
      <c r="AB122" s="726"/>
      <c r="AC122" s="726"/>
      <c r="AD122" s="726">
        <v>21898</v>
      </c>
      <c r="AF122" s="727"/>
    </row>
    <row r="123" spans="1:32" ht="12.75">
      <c r="A123" s="1451"/>
      <c r="B123" s="725" t="s">
        <v>198</v>
      </c>
      <c r="C123" s="726"/>
      <c r="D123" s="726"/>
      <c r="E123" s="726"/>
      <c r="F123" s="726"/>
      <c r="G123" s="726"/>
      <c r="H123" s="726"/>
      <c r="I123" s="726"/>
      <c r="J123" s="726"/>
      <c r="K123" s="726"/>
      <c r="L123" s="726">
        <v>750</v>
      </c>
      <c r="M123" s="726"/>
      <c r="N123" s="726"/>
      <c r="O123" s="726"/>
      <c r="P123" s="726"/>
      <c r="Q123" s="726">
        <v>750</v>
      </c>
      <c r="R123" s="1451"/>
      <c r="S123" s="725" t="s">
        <v>198</v>
      </c>
      <c r="T123" s="726">
        <v>8528</v>
      </c>
      <c r="U123" s="726">
        <v>2233</v>
      </c>
      <c r="V123" s="726">
        <v>7436</v>
      </c>
      <c r="W123" s="726">
        <v>0</v>
      </c>
      <c r="X123" s="726">
        <v>0</v>
      </c>
      <c r="Y123" s="726">
        <v>0</v>
      </c>
      <c r="Z123" s="726">
        <v>4006</v>
      </c>
      <c r="AA123" s="726">
        <v>0</v>
      </c>
      <c r="AB123" s="726"/>
      <c r="AC123" s="726"/>
      <c r="AD123" s="726">
        <v>22203</v>
      </c>
      <c r="AF123" s="727"/>
    </row>
    <row r="124" spans="1:32" ht="12.75">
      <c r="A124" s="1451"/>
      <c r="B124" s="725" t="s">
        <v>197</v>
      </c>
      <c r="C124" s="726"/>
      <c r="D124" s="726"/>
      <c r="E124" s="726"/>
      <c r="F124" s="726"/>
      <c r="G124" s="726"/>
      <c r="H124" s="726"/>
      <c r="I124" s="726"/>
      <c r="J124" s="726"/>
      <c r="K124" s="726"/>
      <c r="L124" s="726">
        <v>750</v>
      </c>
      <c r="M124" s="726"/>
      <c r="N124" s="726"/>
      <c r="O124" s="726"/>
      <c r="P124" s="726"/>
      <c r="Q124" s="726">
        <v>750</v>
      </c>
      <c r="R124" s="1451"/>
      <c r="S124" s="725" t="s">
        <v>197</v>
      </c>
      <c r="T124" s="726">
        <v>8696</v>
      </c>
      <c r="U124" s="726">
        <v>2282</v>
      </c>
      <c r="V124" s="726">
        <v>7436</v>
      </c>
      <c r="W124" s="726">
        <v>0</v>
      </c>
      <c r="X124" s="726">
        <v>0</v>
      </c>
      <c r="Y124" s="726">
        <v>0</v>
      </c>
      <c r="Z124" s="726">
        <v>1413</v>
      </c>
      <c r="AA124" s="726">
        <v>1852</v>
      </c>
      <c r="AB124" s="726"/>
      <c r="AC124" s="726"/>
      <c r="AD124" s="726">
        <v>21679</v>
      </c>
      <c r="AF124" s="727"/>
    </row>
    <row r="125" spans="1:32" ht="12.75">
      <c r="A125" s="1452"/>
      <c r="B125" s="725" t="s">
        <v>824</v>
      </c>
      <c r="C125" s="726">
        <v>117</v>
      </c>
      <c r="D125" s="726"/>
      <c r="E125" s="726"/>
      <c r="F125" s="726">
        <v>32</v>
      </c>
      <c r="G125" s="726"/>
      <c r="H125" s="726"/>
      <c r="I125" s="726"/>
      <c r="J125" s="726"/>
      <c r="K125" s="726"/>
      <c r="L125" s="726">
        <v>750</v>
      </c>
      <c r="M125" s="726"/>
      <c r="N125" s="726"/>
      <c r="O125" s="726"/>
      <c r="P125" s="726"/>
      <c r="Q125" s="726">
        <v>899</v>
      </c>
      <c r="R125" s="1452"/>
      <c r="S125" s="725" t="s">
        <v>824</v>
      </c>
      <c r="T125" s="726">
        <v>8696</v>
      </c>
      <c r="U125" s="726">
        <v>2282</v>
      </c>
      <c r="V125" s="726">
        <v>4133</v>
      </c>
      <c r="W125" s="726"/>
      <c r="X125" s="726"/>
      <c r="Y125" s="726"/>
      <c r="Z125" s="726">
        <v>1290</v>
      </c>
      <c r="AA125" s="726">
        <v>1852</v>
      </c>
      <c r="AB125" s="726"/>
      <c r="AC125" s="726">
        <v>22</v>
      </c>
      <c r="AD125" s="726">
        <v>18275</v>
      </c>
      <c r="AF125" s="727"/>
    </row>
    <row r="126" spans="1:32" ht="12.75">
      <c r="A126" s="1449" t="s">
        <v>839</v>
      </c>
      <c r="B126" s="725" t="s">
        <v>753</v>
      </c>
      <c r="C126" s="726">
        <v>0</v>
      </c>
      <c r="D126" s="726">
        <v>0</v>
      </c>
      <c r="E126" s="726"/>
      <c r="F126" s="726">
        <v>0</v>
      </c>
      <c r="G126" s="726">
        <v>0</v>
      </c>
      <c r="H126" s="726">
        <v>0</v>
      </c>
      <c r="I126" s="726">
        <v>0</v>
      </c>
      <c r="J126" s="726">
        <v>0</v>
      </c>
      <c r="K126" s="726">
        <v>0</v>
      </c>
      <c r="L126" s="726">
        <v>0</v>
      </c>
      <c r="M126" s="726">
        <v>0</v>
      </c>
      <c r="N126" s="726">
        <v>0</v>
      </c>
      <c r="O126" s="726"/>
      <c r="P126" s="726"/>
      <c r="Q126" s="726">
        <v>0</v>
      </c>
      <c r="R126" s="1449" t="s">
        <v>839</v>
      </c>
      <c r="S126" s="725" t="s">
        <v>753</v>
      </c>
      <c r="T126" s="726">
        <v>4992</v>
      </c>
      <c r="U126" s="726">
        <v>1306</v>
      </c>
      <c r="V126" s="726">
        <v>2072</v>
      </c>
      <c r="W126" s="726">
        <v>0</v>
      </c>
      <c r="X126" s="726">
        <v>0</v>
      </c>
      <c r="Y126" s="726">
        <v>0</v>
      </c>
      <c r="Z126" s="726">
        <v>1351</v>
      </c>
      <c r="AA126" s="726">
        <v>0</v>
      </c>
      <c r="AB126" s="726"/>
      <c r="AC126" s="726"/>
      <c r="AD126" s="726">
        <v>9721</v>
      </c>
      <c r="AF126" s="727">
        <v>9721</v>
      </c>
    </row>
    <row r="127" spans="1:32" ht="12.75">
      <c r="A127" s="1450"/>
      <c r="B127" s="725" t="s">
        <v>194</v>
      </c>
      <c r="C127" s="726">
        <v>0</v>
      </c>
      <c r="D127" s="726"/>
      <c r="E127" s="726"/>
      <c r="F127" s="726"/>
      <c r="G127" s="726"/>
      <c r="H127" s="726"/>
      <c r="I127" s="726"/>
      <c r="J127" s="726"/>
      <c r="K127" s="726"/>
      <c r="L127" s="726"/>
      <c r="M127" s="726"/>
      <c r="N127" s="726"/>
      <c r="O127" s="726"/>
      <c r="P127" s="726"/>
      <c r="Q127" s="726">
        <v>0</v>
      </c>
      <c r="R127" s="1450"/>
      <c r="S127" s="725" t="s">
        <v>194</v>
      </c>
      <c r="T127" s="726">
        <v>5049</v>
      </c>
      <c r="U127" s="726">
        <v>1323</v>
      </c>
      <c r="V127" s="726">
        <v>2172</v>
      </c>
      <c r="W127" s="726">
        <v>0</v>
      </c>
      <c r="X127" s="726">
        <v>0</v>
      </c>
      <c r="Y127" s="726">
        <v>0</v>
      </c>
      <c r="Z127" s="726">
        <v>1351</v>
      </c>
      <c r="AA127" s="726">
        <v>0</v>
      </c>
      <c r="AB127" s="726"/>
      <c r="AC127" s="726"/>
      <c r="AD127" s="726">
        <v>9895</v>
      </c>
      <c r="AF127" s="727"/>
    </row>
    <row r="128" spans="1:32" ht="12.75">
      <c r="A128" s="1450"/>
      <c r="B128" s="725" t="s">
        <v>195</v>
      </c>
      <c r="C128" s="726">
        <v>0</v>
      </c>
      <c r="D128" s="726"/>
      <c r="E128" s="726"/>
      <c r="F128" s="726"/>
      <c r="G128" s="726"/>
      <c r="H128" s="726"/>
      <c r="I128" s="726"/>
      <c r="J128" s="726"/>
      <c r="K128" s="726"/>
      <c r="L128" s="726"/>
      <c r="M128" s="726"/>
      <c r="N128" s="726"/>
      <c r="O128" s="726"/>
      <c r="P128" s="726"/>
      <c r="Q128" s="726">
        <v>0</v>
      </c>
      <c r="R128" s="1450"/>
      <c r="S128" s="725" t="s">
        <v>195</v>
      </c>
      <c r="T128" s="726">
        <v>5083</v>
      </c>
      <c r="U128" s="726">
        <v>1333</v>
      </c>
      <c r="V128" s="726">
        <v>2172</v>
      </c>
      <c r="W128" s="726">
        <v>0</v>
      </c>
      <c r="X128" s="726">
        <v>0</v>
      </c>
      <c r="Y128" s="726">
        <v>0</v>
      </c>
      <c r="Z128" s="726">
        <v>1351</v>
      </c>
      <c r="AA128" s="726">
        <v>0</v>
      </c>
      <c r="AB128" s="726"/>
      <c r="AC128" s="726"/>
      <c r="AD128" s="726">
        <v>9939</v>
      </c>
      <c r="AF128" s="727"/>
    </row>
    <row r="129" spans="1:32" ht="12.75">
      <c r="A129" s="1451"/>
      <c r="B129" s="725" t="s">
        <v>198</v>
      </c>
      <c r="C129" s="726">
        <v>0</v>
      </c>
      <c r="D129" s="726"/>
      <c r="E129" s="726"/>
      <c r="F129" s="726"/>
      <c r="G129" s="726"/>
      <c r="H129" s="726"/>
      <c r="I129" s="726"/>
      <c r="J129" s="726"/>
      <c r="K129" s="726"/>
      <c r="L129" s="726"/>
      <c r="M129" s="726"/>
      <c r="N129" s="726"/>
      <c r="O129" s="726"/>
      <c r="P129" s="726"/>
      <c r="Q129" s="726">
        <v>0</v>
      </c>
      <c r="R129" s="1451"/>
      <c r="S129" s="725" t="s">
        <v>198</v>
      </c>
      <c r="T129" s="726">
        <v>5168</v>
      </c>
      <c r="U129" s="726">
        <v>1358</v>
      </c>
      <c r="V129" s="726">
        <v>2172</v>
      </c>
      <c r="W129" s="726">
        <v>0</v>
      </c>
      <c r="X129" s="726">
        <v>0</v>
      </c>
      <c r="Y129" s="726">
        <v>0</v>
      </c>
      <c r="Z129" s="726">
        <v>1351</v>
      </c>
      <c r="AA129" s="726">
        <v>0</v>
      </c>
      <c r="AB129" s="726"/>
      <c r="AC129" s="726"/>
      <c r="AD129" s="726">
        <v>10049</v>
      </c>
      <c r="AF129" s="727"/>
    </row>
    <row r="130" spans="1:32" ht="12.75">
      <c r="A130" s="1451"/>
      <c r="B130" s="725" t="s">
        <v>197</v>
      </c>
      <c r="C130" s="726">
        <v>0</v>
      </c>
      <c r="D130" s="726"/>
      <c r="E130" s="726"/>
      <c r="F130" s="726"/>
      <c r="G130" s="726"/>
      <c r="H130" s="726"/>
      <c r="I130" s="726"/>
      <c r="J130" s="726"/>
      <c r="K130" s="726"/>
      <c r="L130" s="726"/>
      <c r="M130" s="726"/>
      <c r="N130" s="726"/>
      <c r="O130" s="726"/>
      <c r="P130" s="726"/>
      <c r="Q130" s="726">
        <v>0</v>
      </c>
      <c r="R130" s="1451"/>
      <c r="S130" s="725" t="s">
        <v>197</v>
      </c>
      <c r="T130" s="726">
        <v>5464</v>
      </c>
      <c r="U130" s="726">
        <v>1416</v>
      </c>
      <c r="V130" s="726">
        <v>2172</v>
      </c>
      <c r="W130" s="726">
        <v>0</v>
      </c>
      <c r="X130" s="726">
        <v>0</v>
      </c>
      <c r="Y130" s="726">
        <v>0</v>
      </c>
      <c r="Z130" s="726">
        <v>391</v>
      </c>
      <c r="AA130" s="726">
        <v>370</v>
      </c>
      <c r="AB130" s="726"/>
      <c r="AC130" s="726"/>
      <c r="AD130" s="726">
        <v>9813</v>
      </c>
      <c r="AF130" s="727"/>
    </row>
    <row r="131" spans="1:32" ht="12.75">
      <c r="A131" s="1452"/>
      <c r="B131" s="725" t="s">
        <v>824</v>
      </c>
      <c r="C131" s="726">
        <v>0</v>
      </c>
      <c r="D131" s="726"/>
      <c r="E131" s="726"/>
      <c r="F131" s="726"/>
      <c r="G131" s="726"/>
      <c r="H131" s="726"/>
      <c r="I131" s="726"/>
      <c r="J131" s="726"/>
      <c r="K131" s="726"/>
      <c r="L131" s="726"/>
      <c r="M131" s="726"/>
      <c r="N131" s="726"/>
      <c r="O131" s="726"/>
      <c r="P131" s="726"/>
      <c r="Q131" s="726">
        <v>0</v>
      </c>
      <c r="R131" s="1452"/>
      <c r="S131" s="725" t="s">
        <v>824</v>
      </c>
      <c r="T131" s="726">
        <v>5430</v>
      </c>
      <c r="U131" s="726">
        <v>1633</v>
      </c>
      <c r="V131" s="726">
        <v>1624</v>
      </c>
      <c r="W131" s="726"/>
      <c r="X131" s="726"/>
      <c r="Y131" s="726"/>
      <c r="Z131" s="726">
        <v>0</v>
      </c>
      <c r="AA131" s="726">
        <v>370</v>
      </c>
      <c r="AB131" s="726"/>
      <c r="AC131" s="726">
        <v>16</v>
      </c>
      <c r="AD131" s="726">
        <v>9073</v>
      </c>
      <c r="AF131" s="727"/>
    </row>
    <row r="132" spans="1:32" ht="12.75" customHeight="1">
      <c r="A132" s="1443" t="s">
        <v>840</v>
      </c>
      <c r="B132" s="725" t="s">
        <v>753</v>
      </c>
      <c r="C132" s="726">
        <v>11471</v>
      </c>
      <c r="D132" s="726">
        <v>0</v>
      </c>
      <c r="E132" s="726"/>
      <c r="F132" s="726">
        <v>2585</v>
      </c>
      <c r="G132" s="726">
        <v>0</v>
      </c>
      <c r="H132" s="726">
        <v>0</v>
      </c>
      <c r="I132" s="726">
        <v>0</v>
      </c>
      <c r="J132" s="726">
        <v>21966</v>
      </c>
      <c r="K132" s="726">
        <v>0</v>
      </c>
      <c r="L132" s="726">
        <v>0</v>
      </c>
      <c r="M132" s="726">
        <v>0</v>
      </c>
      <c r="N132" s="726">
        <v>0</v>
      </c>
      <c r="O132" s="726"/>
      <c r="P132" s="726"/>
      <c r="Q132" s="726">
        <v>36022</v>
      </c>
      <c r="R132" s="1443" t="s">
        <v>840</v>
      </c>
      <c r="S132" s="725" t="s">
        <v>753</v>
      </c>
      <c r="T132" s="726">
        <v>84466</v>
      </c>
      <c r="U132" s="726">
        <v>21941</v>
      </c>
      <c r="V132" s="726">
        <v>25930</v>
      </c>
      <c r="W132" s="726">
        <v>9690</v>
      </c>
      <c r="X132" s="726">
        <v>0</v>
      </c>
      <c r="Y132" s="726">
        <v>0</v>
      </c>
      <c r="Z132" s="726">
        <v>0</v>
      </c>
      <c r="AA132" s="726">
        <v>0</v>
      </c>
      <c r="AB132" s="726"/>
      <c r="AC132" s="726"/>
      <c r="AD132" s="726">
        <v>132337</v>
      </c>
      <c r="AF132" s="727">
        <v>132337</v>
      </c>
    </row>
    <row r="133" spans="1:32" ht="12.75">
      <c r="A133" s="1444"/>
      <c r="B133" s="725" t="s">
        <v>194</v>
      </c>
      <c r="C133" s="726">
        <v>11471</v>
      </c>
      <c r="D133" s="726">
        <v>0</v>
      </c>
      <c r="E133" s="726"/>
      <c r="F133" s="726">
        <v>2585</v>
      </c>
      <c r="G133" s="726">
        <v>0</v>
      </c>
      <c r="H133" s="726">
        <v>1784</v>
      </c>
      <c r="I133" s="726">
        <v>0</v>
      </c>
      <c r="J133" s="726">
        <v>21966</v>
      </c>
      <c r="K133" s="726"/>
      <c r="L133" s="726"/>
      <c r="M133" s="726">
        <v>3100</v>
      </c>
      <c r="N133" s="726"/>
      <c r="O133" s="726"/>
      <c r="P133" s="726"/>
      <c r="Q133" s="726">
        <v>40906</v>
      </c>
      <c r="R133" s="1444"/>
      <c r="S133" s="725" t="s">
        <v>194</v>
      </c>
      <c r="T133" s="726">
        <v>87506</v>
      </c>
      <c r="U133" s="726">
        <v>22761</v>
      </c>
      <c r="V133" s="726">
        <v>29271</v>
      </c>
      <c r="W133" s="726">
        <v>9690</v>
      </c>
      <c r="X133" s="726">
        <v>0</v>
      </c>
      <c r="Y133" s="726">
        <v>0</v>
      </c>
      <c r="Z133" s="726">
        <v>0</v>
      </c>
      <c r="AA133" s="726">
        <v>0</v>
      </c>
      <c r="AB133" s="726"/>
      <c r="AC133" s="726"/>
      <c r="AD133" s="726">
        <v>139538</v>
      </c>
      <c r="AF133" s="727"/>
    </row>
    <row r="134" spans="1:32" ht="12.75">
      <c r="A134" s="1444"/>
      <c r="B134" s="725" t="s">
        <v>195</v>
      </c>
      <c r="C134" s="726">
        <v>11471</v>
      </c>
      <c r="D134" s="726">
        <v>0</v>
      </c>
      <c r="E134" s="726"/>
      <c r="F134" s="726">
        <v>2585</v>
      </c>
      <c r="G134" s="726">
        <v>0</v>
      </c>
      <c r="H134" s="726">
        <v>2140</v>
      </c>
      <c r="I134" s="726">
        <v>0</v>
      </c>
      <c r="J134" s="726">
        <v>22623</v>
      </c>
      <c r="K134" s="726"/>
      <c r="L134" s="726"/>
      <c r="M134" s="726">
        <v>3100</v>
      </c>
      <c r="N134" s="726"/>
      <c r="O134" s="726"/>
      <c r="P134" s="726"/>
      <c r="Q134" s="726">
        <v>41919</v>
      </c>
      <c r="R134" s="1444"/>
      <c r="S134" s="725" t="s">
        <v>195</v>
      </c>
      <c r="T134" s="726">
        <v>88661</v>
      </c>
      <c r="U134" s="726">
        <v>23044</v>
      </c>
      <c r="V134" s="726">
        <v>29823</v>
      </c>
      <c r="W134" s="726">
        <v>9690</v>
      </c>
      <c r="X134" s="726">
        <v>0</v>
      </c>
      <c r="Y134" s="726">
        <v>0</v>
      </c>
      <c r="Z134" s="726">
        <v>0</v>
      </c>
      <c r="AA134" s="726">
        <v>0</v>
      </c>
      <c r="AB134" s="726"/>
      <c r="AC134" s="726"/>
      <c r="AD134" s="726">
        <v>141528</v>
      </c>
      <c r="AF134" s="727"/>
    </row>
    <row r="135" spans="1:32" ht="12.75">
      <c r="A135" s="1445"/>
      <c r="B135" s="725" t="s">
        <v>198</v>
      </c>
      <c r="C135" s="726">
        <v>11471</v>
      </c>
      <c r="D135" s="726">
        <v>0</v>
      </c>
      <c r="E135" s="726"/>
      <c r="F135" s="726">
        <v>2927</v>
      </c>
      <c r="G135" s="726"/>
      <c r="H135" s="726">
        <v>2276</v>
      </c>
      <c r="I135" s="726">
        <v>0</v>
      </c>
      <c r="J135" s="726">
        <v>22623</v>
      </c>
      <c r="K135" s="726"/>
      <c r="L135" s="726"/>
      <c r="M135" s="726">
        <v>3100</v>
      </c>
      <c r="N135" s="726"/>
      <c r="O135" s="726"/>
      <c r="P135" s="726"/>
      <c r="Q135" s="726">
        <v>42397</v>
      </c>
      <c r="R135" s="1445"/>
      <c r="S135" s="725" t="s">
        <v>198</v>
      </c>
      <c r="T135" s="726">
        <v>85022</v>
      </c>
      <c r="U135" s="726">
        <v>22059</v>
      </c>
      <c r="V135" s="726">
        <v>30785</v>
      </c>
      <c r="W135" s="726">
        <v>9690</v>
      </c>
      <c r="X135" s="726">
        <v>0</v>
      </c>
      <c r="Y135" s="726">
        <v>0</v>
      </c>
      <c r="Z135" s="726">
        <v>0</v>
      </c>
      <c r="AA135" s="726">
        <v>0</v>
      </c>
      <c r="AB135" s="726"/>
      <c r="AC135" s="726"/>
      <c r="AD135" s="726">
        <v>137866</v>
      </c>
      <c r="AF135" s="727"/>
    </row>
    <row r="136" spans="1:32" ht="12.75">
      <c r="A136" s="1445"/>
      <c r="B136" s="725" t="s">
        <v>197</v>
      </c>
      <c r="C136" s="726">
        <v>11471</v>
      </c>
      <c r="D136" s="726">
        <v>0</v>
      </c>
      <c r="E136" s="726"/>
      <c r="F136" s="726">
        <v>2927</v>
      </c>
      <c r="G136" s="726"/>
      <c r="H136" s="726">
        <v>2276</v>
      </c>
      <c r="I136" s="726">
        <v>0</v>
      </c>
      <c r="J136" s="726">
        <v>16113</v>
      </c>
      <c r="K136" s="726"/>
      <c r="L136" s="726"/>
      <c r="M136" s="726">
        <v>3100</v>
      </c>
      <c r="N136" s="726"/>
      <c r="O136" s="726"/>
      <c r="P136" s="726"/>
      <c r="Q136" s="726">
        <v>35887</v>
      </c>
      <c r="R136" s="1445"/>
      <c r="S136" s="725" t="s">
        <v>197</v>
      </c>
      <c r="T136" s="726">
        <v>84740</v>
      </c>
      <c r="U136" s="726">
        <v>22059</v>
      </c>
      <c r="V136" s="726">
        <v>27970</v>
      </c>
      <c r="W136" s="726">
        <v>9690</v>
      </c>
      <c r="X136" s="726">
        <v>0</v>
      </c>
      <c r="Y136" s="726">
        <v>0</v>
      </c>
      <c r="Z136" s="726">
        <v>590</v>
      </c>
      <c r="AA136" s="726">
        <v>741</v>
      </c>
      <c r="AB136" s="726"/>
      <c r="AC136" s="726"/>
      <c r="AD136" s="726">
        <v>136100</v>
      </c>
      <c r="AF136" s="727"/>
    </row>
    <row r="137" spans="1:32" ht="12.75">
      <c r="A137" s="1446"/>
      <c r="B137" s="725" t="s">
        <v>824</v>
      </c>
      <c r="C137" s="726">
        <v>11356</v>
      </c>
      <c r="D137" s="726"/>
      <c r="E137" s="726">
        <v>13</v>
      </c>
      <c r="F137" s="726">
        <v>2702</v>
      </c>
      <c r="G137" s="726"/>
      <c r="H137" s="726">
        <v>2276</v>
      </c>
      <c r="I137" s="726"/>
      <c r="J137" s="726">
        <v>16113</v>
      </c>
      <c r="K137" s="726"/>
      <c r="L137" s="726"/>
      <c r="M137" s="726">
        <v>3100</v>
      </c>
      <c r="N137" s="726">
        <v>3100</v>
      </c>
      <c r="O137" s="726">
        <v>3100</v>
      </c>
      <c r="P137" s="726"/>
      <c r="Q137" s="726">
        <v>41760</v>
      </c>
      <c r="R137" s="1446"/>
      <c r="S137" s="725" t="s">
        <v>824</v>
      </c>
      <c r="T137" s="726">
        <v>81096</v>
      </c>
      <c r="U137" s="726">
        <v>21556</v>
      </c>
      <c r="V137" s="726">
        <v>26844</v>
      </c>
      <c r="W137" s="726"/>
      <c r="X137" s="726"/>
      <c r="Y137" s="726"/>
      <c r="Z137" s="726">
        <v>590</v>
      </c>
      <c r="AA137" s="726">
        <v>741</v>
      </c>
      <c r="AB137" s="726"/>
      <c r="AC137" s="726">
        <v>456</v>
      </c>
      <c r="AD137" s="726">
        <v>131283</v>
      </c>
      <c r="AF137" s="727"/>
    </row>
    <row r="138" spans="1:32" s="730" customFormat="1" ht="14.25" customHeight="1">
      <c r="A138" s="1447" t="s">
        <v>730</v>
      </c>
      <c r="B138" s="728" t="s">
        <v>753</v>
      </c>
      <c r="C138" s="729">
        <v>11951</v>
      </c>
      <c r="D138" s="729">
        <v>0</v>
      </c>
      <c r="E138" s="729"/>
      <c r="F138" s="729">
        <v>2715</v>
      </c>
      <c r="G138" s="729">
        <v>0</v>
      </c>
      <c r="H138" s="729">
        <v>0</v>
      </c>
      <c r="I138" s="729">
        <v>0</v>
      </c>
      <c r="J138" s="729">
        <v>21966</v>
      </c>
      <c r="K138" s="729">
        <v>0</v>
      </c>
      <c r="L138" s="729">
        <v>750</v>
      </c>
      <c r="M138" s="729">
        <v>0</v>
      </c>
      <c r="N138" s="729">
        <v>0</v>
      </c>
      <c r="O138" s="729"/>
      <c r="P138" s="729"/>
      <c r="Q138" s="729">
        <v>37382</v>
      </c>
      <c r="R138" s="1447" t="s">
        <v>730</v>
      </c>
      <c r="S138" s="728" t="s">
        <v>753</v>
      </c>
      <c r="T138" s="729">
        <v>99061</v>
      </c>
      <c r="U138" s="729">
        <v>25771</v>
      </c>
      <c r="V138" s="729">
        <v>35911</v>
      </c>
      <c r="W138" s="729">
        <v>9690</v>
      </c>
      <c r="X138" s="729">
        <v>0</v>
      </c>
      <c r="Y138" s="729">
        <v>0</v>
      </c>
      <c r="Z138" s="729">
        <v>6719</v>
      </c>
      <c r="AA138" s="729">
        <v>0</v>
      </c>
      <c r="AB138" s="729"/>
      <c r="AC138" s="729"/>
      <c r="AD138" s="729">
        <v>167462</v>
      </c>
      <c r="AF138" s="732">
        <v>167462</v>
      </c>
    </row>
    <row r="139" spans="1:32" s="730" customFormat="1" ht="14.25" customHeight="1">
      <c r="A139" s="1448"/>
      <c r="B139" s="725" t="s">
        <v>194</v>
      </c>
      <c r="C139" s="729">
        <v>11951</v>
      </c>
      <c r="D139" s="729">
        <v>0</v>
      </c>
      <c r="E139" s="729"/>
      <c r="F139" s="729">
        <v>2715</v>
      </c>
      <c r="G139" s="729">
        <v>0</v>
      </c>
      <c r="H139" s="729">
        <v>1784</v>
      </c>
      <c r="I139" s="729">
        <v>0</v>
      </c>
      <c r="J139" s="729">
        <v>21966</v>
      </c>
      <c r="K139" s="729">
        <v>0</v>
      </c>
      <c r="L139" s="729">
        <v>750</v>
      </c>
      <c r="M139" s="729">
        <v>3100</v>
      </c>
      <c r="N139" s="729">
        <v>0</v>
      </c>
      <c r="O139" s="729"/>
      <c r="P139" s="729"/>
      <c r="Q139" s="729">
        <v>42266</v>
      </c>
      <c r="R139" s="1448"/>
      <c r="S139" s="725" t="s">
        <v>194</v>
      </c>
      <c r="T139" s="729">
        <v>102279</v>
      </c>
      <c r="U139" s="729">
        <v>26640</v>
      </c>
      <c r="V139" s="729">
        <v>39352</v>
      </c>
      <c r="W139" s="729">
        <v>9690</v>
      </c>
      <c r="X139" s="729">
        <v>0</v>
      </c>
      <c r="Y139" s="729">
        <v>0</v>
      </c>
      <c r="Z139" s="729">
        <v>6719</v>
      </c>
      <c r="AA139" s="729">
        <v>0</v>
      </c>
      <c r="AB139" s="729"/>
      <c r="AC139" s="729"/>
      <c r="AD139" s="729">
        <v>174990</v>
      </c>
      <c r="AF139" s="732"/>
    </row>
    <row r="140" spans="1:32" s="730" customFormat="1" ht="14.25" customHeight="1">
      <c r="A140" s="1448"/>
      <c r="B140" s="725" t="s">
        <v>195</v>
      </c>
      <c r="C140" s="729">
        <v>11951</v>
      </c>
      <c r="D140" s="729">
        <v>0</v>
      </c>
      <c r="E140" s="729"/>
      <c r="F140" s="729">
        <v>2715</v>
      </c>
      <c r="G140" s="729">
        <v>0</v>
      </c>
      <c r="H140" s="729">
        <v>2140</v>
      </c>
      <c r="I140" s="729">
        <v>0</v>
      </c>
      <c r="J140" s="729">
        <v>22623</v>
      </c>
      <c r="K140" s="729">
        <v>0</v>
      </c>
      <c r="L140" s="729">
        <v>750</v>
      </c>
      <c r="M140" s="729">
        <v>3100</v>
      </c>
      <c r="N140" s="729">
        <v>0</v>
      </c>
      <c r="O140" s="729"/>
      <c r="P140" s="729"/>
      <c r="Q140" s="729">
        <v>43279</v>
      </c>
      <c r="R140" s="1448"/>
      <c r="S140" s="725" t="s">
        <v>195</v>
      </c>
      <c r="T140" s="729">
        <v>103544</v>
      </c>
      <c r="U140" s="729">
        <v>26953</v>
      </c>
      <c r="V140" s="729">
        <v>39904</v>
      </c>
      <c r="W140" s="729">
        <v>9690</v>
      </c>
      <c r="X140" s="729">
        <v>0</v>
      </c>
      <c r="Y140" s="729">
        <v>0</v>
      </c>
      <c r="Z140" s="729">
        <v>6719</v>
      </c>
      <c r="AA140" s="729">
        <v>0</v>
      </c>
      <c r="AB140" s="729"/>
      <c r="AC140" s="729"/>
      <c r="AD140" s="729">
        <v>177120</v>
      </c>
      <c r="AF140" s="732"/>
    </row>
    <row r="141" spans="1:32" s="730" customFormat="1" ht="14.25" customHeight="1">
      <c r="A141" s="1445"/>
      <c r="B141" s="725" t="s">
        <v>198</v>
      </c>
      <c r="C141" s="729">
        <v>11951</v>
      </c>
      <c r="D141" s="729">
        <v>0</v>
      </c>
      <c r="E141" s="729"/>
      <c r="F141" s="729">
        <v>3057</v>
      </c>
      <c r="G141" s="729"/>
      <c r="H141" s="729">
        <v>2276</v>
      </c>
      <c r="I141" s="729">
        <v>0</v>
      </c>
      <c r="J141" s="729">
        <v>22623</v>
      </c>
      <c r="K141" s="729">
        <v>0</v>
      </c>
      <c r="L141" s="729">
        <v>750</v>
      </c>
      <c r="M141" s="729">
        <v>3100</v>
      </c>
      <c r="N141" s="729">
        <v>0</v>
      </c>
      <c r="O141" s="729"/>
      <c r="P141" s="729"/>
      <c r="Q141" s="729">
        <v>43757</v>
      </c>
      <c r="R141" s="1445"/>
      <c r="S141" s="725" t="s">
        <v>198</v>
      </c>
      <c r="T141" s="729">
        <v>100230</v>
      </c>
      <c r="U141" s="729">
        <v>26058</v>
      </c>
      <c r="V141" s="729">
        <v>40866</v>
      </c>
      <c r="W141" s="729">
        <v>9690</v>
      </c>
      <c r="X141" s="729">
        <v>0</v>
      </c>
      <c r="Y141" s="729">
        <v>0</v>
      </c>
      <c r="Z141" s="729">
        <v>6719</v>
      </c>
      <c r="AA141" s="729">
        <v>0</v>
      </c>
      <c r="AB141" s="729"/>
      <c r="AC141" s="729"/>
      <c r="AD141" s="729">
        <v>173873</v>
      </c>
      <c r="AF141" s="732"/>
    </row>
    <row r="142" spans="1:32" s="730" customFormat="1" ht="14.25" customHeight="1">
      <c r="A142" s="1445"/>
      <c r="B142" s="725" t="s">
        <v>197</v>
      </c>
      <c r="C142" s="729">
        <v>11951</v>
      </c>
      <c r="D142" s="729">
        <v>0</v>
      </c>
      <c r="E142" s="729"/>
      <c r="F142" s="729">
        <v>3057</v>
      </c>
      <c r="G142" s="729"/>
      <c r="H142" s="729">
        <v>2276</v>
      </c>
      <c r="I142" s="729">
        <v>0</v>
      </c>
      <c r="J142" s="729">
        <v>16113</v>
      </c>
      <c r="K142" s="729">
        <v>0</v>
      </c>
      <c r="L142" s="729">
        <v>750</v>
      </c>
      <c r="M142" s="729">
        <v>3100</v>
      </c>
      <c r="N142" s="729">
        <v>0</v>
      </c>
      <c r="O142" s="729"/>
      <c r="P142" s="729"/>
      <c r="Q142" s="729">
        <v>37247</v>
      </c>
      <c r="R142" s="1445"/>
      <c r="S142" s="725" t="s">
        <v>197</v>
      </c>
      <c r="T142" s="729">
        <v>100614</v>
      </c>
      <c r="U142" s="729">
        <v>26165</v>
      </c>
      <c r="V142" s="729">
        <v>39261</v>
      </c>
      <c r="W142" s="729">
        <v>9690</v>
      </c>
      <c r="X142" s="729">
        <v>0</v>
      </c>
      <c r="Y142" s="729">
        <v>0</v>
      </c>
      <c r="Z142" s="729">
        <v>3015</v>
      </c>
      <c r="AA142" s="729">
        <v>3704</v>
      </c>
      <c r="AB142" s="729"/>
      <c r="AC142" s="729"/>
      <c r="AD142" s="729">
        <v>172759</v>
      </c>
      <c r="AF142" s="732"/>
    </row>
    <row r="143" spans="1:32" s="730" customFormat="1" ht="14.25" customHeight="1">
      <c r="A143" s="1446"/>
      <c r="B143" s="725" t="s">
        <v>824</v>
      </c>
      <c r="C143" s="729">
        <v>11497</v>
      </c>
      <c r="D143" s="729">
        <v>0</v>
      </c>
      <c r="E143" s="729">
        <v>13</v>
      </c>
      <c r="F143" s="729">
        <v>2734</v>
      </c>
      <c r="G143" s="729">
        <v>0</v>
      </c>
      <c r="H143" s="729">
        <v>2276</v>
      </c>
      <c r="I143" s="729">
        <v>0</v>
      </c>
      <c r="J143" s="729">
        <v>16113</v>
      </c>
      <c r="K143" s="729">
        <v>0</v>
      </c>
      <c r="L143" s="729">
        <v>750</v>
      </c>
      <c r="M143" s="729">
        <v>3100</v>
      </c>
      <c r="N143" s="729">
        <v>3100</v>
      </c>
      <c r="O143" s="729">
        <v>3100</v>
      </c>
      <c r="P143" s="729">
        <v>0</v>
      </c>
      <c r="Q143" s="729">
        <v>42683</v>
      </c>
      <c r="R143" s="1446"/>
      <c r="S143" s="725" t="s">
        <v>824</v>
      </c>
      <c r="T143" s="729">
        <v>96936</v>
      </c>
      <c r="U143" s="729">
        <v>25490</v>
      </c>
      <c r="V143" s="729">
        <v>34279</v>
      </c>
      <c r="W143" s="729">
        <v>0</v>
      </c>
      <c r="X143" s="729">
        <v>0</v>
      </c>
      <c r="Y143" s="729">
        <v>0</v>
      </c>
      <c r="Z143" s="729">
        <v>2388</v>
      </c>
      <c r="AA143" s="729">
        <v>3704</v>
      </c>
      <c r="AB143" s="729">
        <v>0</v>
      </c>
      <c r="AC143" s="729">
        <v>815</v>
      </c>
      <c r="AD143" s="729">
        <v>163612</v>
      </c>
      <c r="AF143" s="732"/>
    </row>
    <row r="144" spans="1:32" ht="12.75" customHeight="1">
      <c r="A144" s="1443" t="s">
        <v>841</v>
      </c>
      <c r="B144" s="725" t="s">
        <v>753</v>
      </c>
      <c r="C144" s="726">
        <v>666</v>
      </c>
      <c r="D144" s="726">
        <v>0</v>
      </c>
      <c r="E144" s="726"/>
      <c r="F144" s="726">
        <v>9902</v>
      </c>
      <c r="G144" s="726">
        <v>0</v>
      </c>
      <c r="H144" s="726">
        <v>0</v>
      </c>
      <c r="I144" s="726">
        <v>0</v>
      </c>
      <c r="J144" s="726">
        <v>0</v>
      </c>
      <c r="K144" s="726">
        <v>0</v>
      </c>
      <c r="L144" s="726">
        <v>0</v>
      </c>
      <c r="M144" s="726">
        <v>0</v>
      </c>
      <c r="N144" s="726">
        <v>0</v>
      </c>
      <c r="O144" s="726"/>
      <c r="P144" s="726"/>
      <c r="Q144" s="726">
        <v>10568</v>
      </c>
      <c r="R144" s="1443" t="s">
        <v>841</v>
      </c>
      <c r="S144" s="725" t="s">
        <v>753</v>
      </c>
      <c r="T144" s="726">
        <v>18580</v>
      </c>
      <c r="U144" s="726">
        <v>4955</v>
      </c>
      <c r="V144" s="726">
        <v>8333</v>
      </c>
      <c r="W144" s="726">
        <v>0</v>
      </c>
      <c r="X144" s="726">
        <v>0</v>
      </c>
      <c r="Y144" s="726">
        <v>0</v>
      </c>
      <c r="Z144" s="726">
        <v>0</v>
      </c>
      <c r="AA144" s="726">
        <v>0</v>
      </c>
      <c r="AB144" s="726"/>
      <c r="AC144" s="726"/>
      <c r="AD144" s="726">
        <v>31868</v>
      </c>
      <c r="AF144" s="727">
        <v>31868</v>
      </c>
    </row>
    <row r="145" spans="1:32" ht="12.75">
      <c r="A145" s="1444"/>
      <c r="B145" s="733" t="s">
        <v>194</v>
      </c>
      <c r="C145" s="734">
        <v>666</v>
      </c>
      <c r="D145" s="734">
        <v>0</v>
      </c>
      <c r="E145" s="734"/>
      <c r="F145" s="734">
        <v>9902</v>
      </c>
      <c r="G145" s="734">
        <v>0</v>
      </c>
      <c r="H145" s="734">
        <v>0</v>
      </c>
      <c r="I145" s="734">
        <v>0</v>
      </c>
      <c r="J145" s="734">
        <v>0</v>
      </c>
      <c r="K145" s="734"/>
      <c r="L145" s="734"/>
      <c r="M145" s="734">
        <v>9310</v>
      </c>
      <c r="N145" s="734"/>
      <c r="O145" s="734"/>
      <c r="P145" s="734"/>
      <c r="Q145" s="726">
        <v>19878</v>
      </c>
      <c r="R145" s="1444"/>
      <c r="S145" s="733" t="s">
        <v>194</v>
      </c>
      <c r="T145" s="734">
        <v>23331</v>
      </c>
      <c r="U145" s="734">
        <v>6239</v>
      </c>
      <c r="V145" s="734">
        <v>12685</v>
      </c>
      <c r="W145" s="734">
        <v>0</v>
      </c>
      <c r="X145" s="734">
        <v>0</v>
      </c>
      <c r="Y145" s="734">
        <v>0</v>
      </c>
      <c r="Z145" s="734">
        <v>0</v>
      </c>
      <c r="AA145" s="734">
        <v>0</v>
      </c>
      <c r="AB145" s="734"/>
      <c r="AC145" s="734"/>
      <c r="AD145" s="726">
        <v>42255</v>
      </c>
      <c r="AF145" s="727"/>
    </row>
    <row r="146" spans="1:32" ht="12.75">
      <c r="A146" s="1444"/>
      <c r="B146" s="725" t="s">
        <v>195</v>
      </c>
      <c r="C146" s="734">
        <v>666</v>
      </c>
      <c r="D146" s="734">
        <v>0</v>
      </c>
      <c r="E146" s="734"/>
      <c r="F146" s="734">
        <v>9902</v>
      </c>
      <c r="G146" s="734">
        <v>0</v>
      </c>
      <c r="H146" s="734">
        <v>0</v>
      </c>
      <c r="I146" s="734">
        <v>0</v>
      </c>
      <c r="J146" s="734">
        <v>0</v>
      </c>
      <c r="K146" s="734"/>
      <c r="L146" s="734"/>
      <c r="M146" s="734">
        <v>8080</v>
      </c>
      <c r="N146" s="734"/>
      <c r="O146" s="734"/>
      <c r="P146" s="734"/>
      <c r="Q146" s="726">
        <v>18648</v>
      </c>
      <c r="R146" s="1444"/>
      <c r="S146" s="725" t="s">
        <v>195</v>
      </c>
      <c r="T146" s="734">
        <v>22435</v>
      </c>
      <c r="U146" s="734">
        <v>5448</v>
      </c>
      <c r="V146" s="734">
        <v>9822</v>
      </c>
      <c r="W146" s="734">
        <v>0</v>
      </c>
      <c r="X146" s="734">
        <v>0</v>
      </c>
      <c r="Y146" s="734">
        <v>0</v>
      </c>
      <c r="Z146" s="734">
        <v>160</v>
      </c>
      <c r="AA146" s="734">
        <v>0</v>
      </c>
      <c r="AB146" s="734"/>
      <c r="AC146" s="734"/>
      <c r="AD146" s="726">
        <v>37865</v>
      </c>
      <c r="AF146" s="727"/>
    </row>
    <row r="147" spans="1:32" ht="12.75">
      <c r="A147" s="1445"/>
      <c r="B147" s="725" t="s">
        <v>198</v>
      </c>
      <c r="C147" s="734">
        <v>666</v>
      </c>
      <c r="D147" s="734">
        <v>0</v>
      </c>
      <c r="E147" s="734"/>
      <c r="F147" s="734">
        <v>4235</v>
      </c>
      <c r="G147" s="734"/>
      <c r="H147" s="734">
        <v>0</v>
      </c>
      <c r="I147" s="734">
        <v>0</v>
      </c>
      <c r="J147" s="734">
        <v>0</v>
      </c>
      <c r="K147" s="734"/>
      <c r="L147" s="734"/>
      <c r="M147" s="734">
        <v>8080</v>
      </c>
      <c r="N147" s="734"/>
      <c r="O147" s="734"/>
      <c r="P147" s="734"/>
      <c r="Q147" s="726">
        <v>12981</v>
      </c>
      <c r="R147" s="1445"/>
      <c r="S147" s="725" t="s">
        <v>198</v>
      </c>
      <c r="T147" s="734">
        <v>22885</v>
      </c>
      <c r="U147" s="734">
        <v>5568</v>
      </c>
      <c r="V147" s="734">
        <v>8892</v>
      </c>
      <c r="W147" s="734">
        <v>0</v>
      </c>
      <c r="X147" s="734">
        <v>0</v>
      </c>
      <c r="Y147" s="734">
        <v>0</v>
      </c>
      <c r="Z147" s="734">
        <v>160</v>
      </c>
      <c r="AA147" s="734">
        <v>0</v>
      </c>
      <c r="AB147" s="734"/>
      <c r="AC147" s="734"/>
      <c r="AD147" s="726">
        <v>37505</v>
      </c>
      <c r="AF147" s="727"/>
    </row>
    <row r="148" spans="1:32" ht="12.75">
      <c r="A148" s="1445"/>
      <c r="B148" s="725" t="s">
        <v>197</v>
      </c>
      <c r="C148" s="734">
        <v>666</v>
      </c>
      <c r="D148" s="734">
        <v>0</v>
      </c>
      <c r="E148" s="734"/>
      <c r="F148" s="734">
        <v>4235</v>
      </c>
      <c r="G148" s="734"/>
      <c r="H148" s="734">
        <v>22</v>
      </c>
      <c r="I148" s="734">
        <v>0</v>
      </c>
      <c r="J148" s="734">
        <v>0</v>
      </c>
      <c r="K148" s="734"/>
      <c r="L148" s="734"/>
      <c r="M148" s="734">
        <v>8080</v>
      </c>
      <c r="N148" s="734"/>
      <c r="O148" s="734"/>
      <c r="P148" s="734"/>
      <c r="Q148" s="726">
        <v>13003</v>
      </c>
      <c r="R148" s="1445"/>
      <c r="S148" s="725" t="s">
        <v>197</v>
      </c>
      <c r="T148" s="734">
        <v>21020</v>
      </c>
      <c r="U148" s="734">
        <v>5563</v>
      </c>
      <c r="V148" s="734">
        <v>7914</v>
      </c>
      <c r="W148" s="734">
        <v>0</v>
      </c>
      <c r="X148" s="734">
        <v>0</v>
      </c>
      <c r="Y148" s="734">
        <v>0</v>
      </c>
      <c r="Z148" s="734">
        <v>160</v>
      </c>
      <c r="AA148" s="734">
        <v>0</v>
      </c>
      <c r="AB148" s="734"/>
      <c r="AC148" s="734"/>
      <c r="AD148" s="726">
        <v>34657</v>
      </c>
      <c r="AF148" s="727"/>
    </row>
    <row r="149" spans="1:32" ht="12.75">
      <c r="A149" s="1446"/>
      <c r="B149" s="725" t="s">
        <v>824</v>
      </c>
      <c r="C149" s="734">
        <v>600</v>
      </c>
      <c r="D149" s="734"/>
      <c r="E149" s="734">
        <v>404</v>
      </c>
      <c r="F149" s="734">
        <v>4274</v>
      </c>
      <c r="G149" s="734"/>
      <c r="H149" s="734">
        <v>22</v>
      </c>
      <c r="I149" s="734"/>
      <c r="J149" s="734"/>
      <c r="K149" s="734"/>
      <c r="L149" s="734"/>
      <c r="M149" s="734">
        <v>8080</v>
      </c>
      <c r="N149" s="734">
        <v>3247</v>
      </c>
      <c r="O149" s="734"/>
      <c r="P149" s="734">
        <v>13</v>
      </c>
      <c r="Q149" s="726">
        <v>16640</v>
      </c>
      <c r="R149" s="1446"/>
      <c r="S149" s="725" t="s">
        <v>824</v>
      </c>
      <c r="T149" s="734">
        <v>20340</v>
      </c>
      <c r="U149" s="734">
        <v>4976</v>
      </c>
      <c r="V149" s="734">
        <v>7637</v>
      </c>
      <c r="W149" s="734"/>
      <c r="X149" s="734"/>
      <c r="Y149" s="734"/>
      <c r="Z149" s="734">
        <v>136</v>
      </c>
      <c r="AA149" s="734"/>
      <c r="AB149" s="734">
        <v>32926</v>
      </c>
      <c r="AC149" s="734">
        <v>-20793</v>
      </c>
      <c r="AD149" s="726">
        <v>45222</v>
      </c>
      <c r="AF149" s="727"/>
    </row>
    <row r="150" spans="1:32" s="737" customFormat="1" ht="21.75" customHeight="1">
      <c r="A150" s="1447" t="s">
        <v>815</v>
      </c>
      <c r="B150" s="728" t="s">
        <v>753</v>
      </c>
      <c r="C150" s="729">
        <v>111711</v>
      </c>
      <c r="D150" s="729">
        <v>69489</v>
      </c>
      <c r="E150" s="729"/>
      <c r="F150" s="729">
        <v>36954</v>
      </c>
      <c r="G150" s="729">
        <v>0</v>
      </c>
      <c r="H150" s="729">
        <v>3540</v>
      </c>
      <c r="I150" s="729">
        <v>0</v>
      </c>
      <c r="J150" s="729">
        <v>46595</v>
      </c>
      <c r="K150" s="729">
        <v>0</v>
      </c>
      <c r="L150" s="729">
        <v>750</v>
      </c>
      <c r="M150" s="729">
        <v>0</v>
      </c>
      <c r="N150" s="729">
        <v>0</v>
      </c>
      <c r="O150" s="729">
        <v>0</v>
      </c>
      <c r="P150" s="729">
        <v>0</v>
      </c>
      <c r="Q150" s="729">
        <v>199550</v>
      </c>
      <c r="R150" s="1447" t="s">
        <v>815</v>
      </c>
      <c r="S150" s="728" t="s">
        <v>753</v>
      </c>
      <c r="T150" s="729">
        <v>869558</v>
      </c>
      <c r="U150" s="729">
        <v>231427</v>
      </c>
      <c r="V150" s="729">
        <v>447481</v>
      </c>
      <c r="W150" s="729">
        <v>158798</v>
      </c>
      <c r="X150" s="729">
        <v>9420</v>
      </c>
      <c r="Y150" s="729">
        <v>0</v>
      </c>
      <c r="Z150" s="729">
        <v>6719</v>
      </c>
      <c r="AA150" s="729">
        <v>0</v>
      </c>
      <c r="AB150" s="729">
        <v>0</v>
      </c>
      <c r="AC150" s="729">
        <v>0</v>
      </c>
      <c r="AD150" s="729">
        <v>1564605</v>
      </c>
      <c r="AE150" s="735"/>
      <c r="AF150" s="736">
        <v>1564605</v>
      </c>
    </row>
    <row r="151" spans="1:32" s="739" customFormat="1" ht="21.75" customHeight="1">
      <c r="A151" s="1448"/>
      <c r="B151" s="725" t="s">
        <v>194</v>
      </c>
      <c r="C151" s="729">
        <v>112887</v>
      </c>
      <c r="D151" s="729">
        <v>69489</v>
      </c>
      <c r="E151" s="729"/>
      <c r="F151" s="729">
        <v>36954</v>
      </c>
      <c r="G151" s="729">
        <v>0</v>
      </c>
      <c r="H151" s="729">
        <v>5886</v>
      </c>
      <c r="I151" s="729">
        <v>0</v>
      </c>
      <c r="J151" s="729">
        <v>46774</v>
      </c>
      <c r="K151" s="729">
        <v>0</v>
      </c>
      <c r="L151" s="729">
        <v>750</v>
      </c>
      <c r="M151" s="729">
        <v>41006</v>
      </c>
      <c r="N151" s="729">
        <v>0</v>
      </c>
      <c r="O151" s="729">
        <v>0</v>
      </c>
      <c r="P151" s="729">
        <v>0</v>
      </c>
      <c r="Q151" s="729">
        <v>244257</v>
      </c>
      <c r="R151" s="1448"/>
      <c r="S151" s="725" t="s">
        <v>194</v>
      </c>
      <c r="T151" s="729">
        <v>893199</v>
      </c>
      <c r="U151" s="729">
        <v>237810</v>
      </c>
      <c r="V151" s="729">
        <v>481863</v>
      </c>
      <c r="W151" s="729">
        <v>158798</v>
      </c>
      <c r="X151" s="729">
        <v>9420</v>
      </c>
      <c r="Y151" s="729">
        <v>0</v>
      </c>
      <c r="Z151" s="729">
        <v>6882</v>
      </c>
      <c r="AA151" s="729">
        <v>0</v>
      </c>
      <c r="AB151" s="729">
        <v>0</v>
      </c>
      <c r="AC151" s="729">
        <v>0</v>
      </c>
      <c r="AD151" s="729">
        <v>1629174</v>
      </c>
      <c r="AE151" s="738"/>
      <c r="AF151" s="736"/>
    </row>
    <row r="152" spans="1:30" ht="12.75" customHeight="1" hidden="1">
      <c r="A152" s="1448"/>
      <c r="B152" s="740"/>
      <c r="C152" s="741">
        <v>1176</v>
      </c>
      <c r="D152" s="741">
        <v>0</v>
      </c>
      <c r="E152" s="741"/>
      <c r="F152" s="741">
        <v>0</v>
      </c>
      <c r="G152" s="741">
        <v>0</v>
      </c>
      <c r="H152" s="741">
        <v>2346</v>
      </c>
      <c r="I152" s="741">
        <v>0</v>
      </c>
      <c r="J152" s="741">
        <v>179</v>
      </c>
      <c r="K152" s="741">
        <v>0</v>
      </c>
      <c r="L152" s="741">
        <v>0</v>
      </c>
      <c r="M152" s="741">
        <v>41006</v>
      </c>
      <c r="N152" s="741">
        <v>0</v>
      </c>
      <c r="O152" s="741"/>
      <c r="P152" s="741"/>
      <c r="Q152" s="741">
        <v>44707</v>
      </c>
      <c r="R152" s="1448"/>
      <c r="S152" s="740"/>
      <c r="T152" s="729">
        <v>911256</v>
      </c>
      <c r="U152" s="741">
        <v>6383</v>
      </c>
      <c r="V152" s="741">
        <v>34382</v>
      </c>
      <c r="W152" s="741">
        <v>0</v>
      </c>
      <c r="X152" s="741">
        <v>0</v>
      </c>
      <c r="Y152" s="741">
        <v>0</v>
      </c>
      <c r="Z152" s="741">
        <v>163</v>
      </c>
      <c r="AA152" s="741">
        <v>0</v>
      </c>
      <c r="AB152" s="741"/>
      <c r="AC152" s="741"/>
      <c r="AD152" s="741">
        <v>64569</v>
      </c>
    </row>
    <row r="153" spans="1:30" ht="12.75">
      <c r="A153" s="1448"/>
      <c r="B153" s="725" t="s">
        <v>195</v>
      </c>
      <c r="C153" s="742">
        <v>118664</v>
      </c>
      <c r="D153" s="742">
        <v>69489</v>
      </c>
      <c r="E153" s="742"/>
      <c r="F153" s="742">
        <v>36954</v>
      </c>
      <c r="G153" s="742">
        <v>0</v>
      </c>
      <c r="H153" s="742">
        <v>10666</v>
      </c>
      <c r="I153" s="742">
        <v>0</v>
      </c>
      <c r="J153" s="742">
        <v>55342</v>
      </c>
      <c r="K153" s="742">
        <v>0</v>
      </c>
      <c r="L153" s="742">
        <v>750</v>
      </c>
      <c r="M153" s="742">
        <v>41006</v>
      </c>
      <c r="N153" s="742">
        <v>0</v>
      </c>
      <c r="O153" s="742">
        <v>0</v>
      </c>
      <c r="P153" s="742">
        <v>0</v>
      </c>
      <c r="Q153" s="742">
        <v>263382</v>
      </c>
      <c r="R153" s="1448"/>
      <c r="S153" s="725" t="s">
        <v>195</v>
      </c>
      <c r="T153" s="729">
        <v>911256</v>
      </c>
      <c r="U153" s="742">
        <v>242140</v>
      </c>
      <c r="V153" s="742">
        <v>496210</v>
      </c>
      <c r="W153" s="742">
        <v>158798</v>
      </c>
      <c r="X153" s="742">
        <v>9420</v>
      </c>
      <c r="Y153" s="742">
        <v>226</v>
      </c>
      <c r="Z153" s="742">
        <v>9459</v>
      </c>
      <c r="AA153" s="742">
        <v>11626</v>
      </c>
      <c r="AB153" s="742">
        <v>0</v>
      </c>
      <c r="AC153" s="742">
        <v>0</v>
      </c>
      <c r="AD153" s="742">
        <v>1680337</v>
      </c>
    </row>
    <row r="154" spans="1:30" ht="12.75" customHeight="1" hidden="1">
      <c r="A154" s="1455"/>
      <c r="B154" s="740"/>
      <c r="C154" s="742">
        <v>121994</v>
      </c>
      <c r="D154" s="740"/>
      <c r="E154" s="740"/>
      <c r="F154" s="740"/>
      <c r="G154" s="740"/>
      <c r="H154" s="740"/>
      <c r="I154" s="740"/>
      <c r="J154" s="740"/>
      <c r="K154" s="740"/>
      <c r="L154" s="740"/>
      <c r="M154" s="740"/>
      <c r="N154" s="740"/>
      <c r="O154" s="740"/>
      <c r="P154" s="740"/>
      <c r="Q154" s="740"/>
      <c r="R154" s="1455"/>
      <c r="S154" s="740"/>
      <c r="T154" s="741"/>
      <c r="U154" s="741"/>
      <c r="V154" s="741"/>
      <c r="W154" s="741"/>
      <c r="X154" s="741"/>
      <c r="Y154" s="741"/>
      <c r="Z154" s="741"/>
      <c r="AA154" s="741"/>
      <c r="AB154" s="741"/>
      <c r="AC154" s="741"/>
      <c r="AD154" s="741"/>
    </row>
    <row r="155" spans="1:30" ht="12.75" customHeight="1" hidden="1">
      <c r="A155" s="1455"/>
      <c r="B155" s="740"/>
      <c r="C155" s="742">
        <v>252137</v>
      </c>
      <c r="D155" s="741">
        <v>0</v>
      </c>
      <c r="E155" s="741"/>
      <c r="F155" s="741">
        <v>0</v>
      </c>
      <c r="G155" s="741">
        <v>0</v>
      </c>
      <c r="H155" s="741">
        <v>4780</v>
      </c>
      <c r="I155" s="741">
        <v>0</v>
      </c>
      <c r="J155" s="741">
        <v>8568</v>
      </c>
      <c r="K155" s="741">
        <v>0</v>
      </c>
      <c r="L155" s="741">
        <v>0</v>
      </c>
      <c r="M155" s="741">
        <v>0</v>
      </c>
      <c r="N155" s="741">
        <v>0</v>
      </c>
      <c r="O155" s="741"/>
      <c r="P155" s="741"/>
      <c r="Q155" s="741">
        <v>19125</v>
      </c>
      <c r="R155" s="1455"/>
      <c r="S155" s="740"/>
      <c r="T155" s="741">
        <v>18057</v>
      </c>
      <c r="U155" s="741">
        <v>4330</v>
      </c>
      <c r="V155" s="741">
        <v>14347</v>
      </c>
      <c r="W155" s="741">
        <v>0</v>
      </c>
      <c r="X155" s="741">
        <v>0</v>
      </c>
      <c r="Y155" s="741">
        <v>226</v>
      </c>
      <c r="Z155" s="741">
        <v>2577</v>
      </c>
      <c r="AA155" s="741">
        <v>11626</v>
      </c>
      <c r="AB155" s="741"/>
      <c r="AC155" s="741"/>
      <c r="AD155" s="741">
        <v>51163</v>
      </c>
    </row>
    <row r="156" spans="1:30" ht="12.75" customHeight="1" hidden="1">
      <c r="A156" s="1455"/>
      <c r="B156" s="740"/>
      <c r="C156" s="742">
        <v>252802</v>
      </c>
      <c r="D156" s="740"/>
      <c r="E156" s="740"/>
      <c r="F156" s="740"/>
      <c r="G156" s="740"/>
      <c r="H156" s="740"/>
      <c r="I156" s="740"/>
      <c r="J156" s="740"/>
      <c r="K156" s="740"/>
      <c r="L156" s="740"/>
      <c r="M156" s="740"/>
      <c r="N156" s="740"/>
      <c r="O156" s="740"/>
      <c r="P156" s="740"/>
      <c r="Q156" s="740"/>
      <c r="R156" s="1455"/>
      <c r="S156" s="740"/>
      <c r="T156" s="741"/>
      <c r="U156" s="741"/>
      <c r="V156" s="741"/>
      <c r="W156" s="741"/>
      <c r="X156" s="741"/>
      <c r="Y156" s="741"/>
      <c r="Z156" s="741"/>
      <c r="AA156" s="741"/>
      <c r="AB156" s="741"/>
      <c r="AC156" s="741"/>
      <c r="AD156" s="741"/>
    </row>
    <row r="157" spans="1:30" ht="12.75" customHeight="1" hidden="1">
      <c r="A157" s="1455"/>
      <c r="B157" s="740"/>
      <c r="C157" s="742">
        <v>148577</v>
      </c>
      <c r="D157" s="740"/>
      <c r="E157" s="740"/>
      <c r="F157" s="740"/>
      <c r="G157" s="740"/>
      <c r="H157" s="740"/>
      <c r="I157" s="740"/>
      <c r="J157" s="740"/>
      <c r="K157" s="740"/>
      <c r="L157" s="740"/>
      <c r="M157" s="740"/>
      <c r="N157" s="740"/>
      <c r="O157" s="740"/>
      <c r="P157" s="740"/>
      <c r="Q157" s="740"/>
      <c r="R157" s="1455"/>
      <c r="S157" s="740"/>
      <c r="T157" s="741"/>
      <c r="U157" s="741"/>
      <c r="V157" s="741"/>
      <c r="W157" s="741"/>
      <c r="X157" s="741"/>
      <c r="Y157" s="741"/>
      <c r="Z157" s="741"/>
      <c r="AA157" s="741"/>
      <c r="AB157" s="741"/>
      <c r="AC157" s="741"/>
      <c r="AD157" s="741"/>
    </row>
    <row r="158" spans="1:30" ht="16.5" customHeight="1">
      <c r="A158" s="1455"/>
      <c r="B158" s="740" t="s">
        <v>198</v>
      </c>
      <c r="C158" s="742">
        <v>131422</v>
      </c>
      <c r="D158" s="742">
        <v>69489</v>
      </c>
      <c r="E158" s="742"/>
      <c r="F158" s="742">
        <v>41319</v>
      </c>
      <c r="G158" s="742">
        <v>0</v>
      </c>
      <c r="H158" s="742">
        <v>14046</v>
      </c>
      <c r="I158" s="742">
        <v>0</v>
      </c>
      <c r="J158" s="742">
        <v>67977</v>
      </c>
      <c r="K158" s="742">
        <v>0</v>
      </c>
      <c r="L158" s="742">
        <v>750</v>
      </c>
      <c r="M158" s="742">
        <v>41006</v>
      </c>
      <c r="N158" s="742">
        <v>0</v>
      </c>
      <c r="O158" s="742">
        <v>0</v>
      </c>
      <c r="P158" s="742">
        <v>0</v>
      </c>
      <c r="Q158" s="742">
        <v>296520</v>
      </c>
      <c r="R158" s="1455"/>
      <c r="S158" s="740" t="s">
        <v>198</v>
      </c>
      <c r="T158" s="742">
        <v>925727</v>
      </c>
      <c r="U158" s="742">
        <v>246046</v>
      </c>
      <c r="V158" s="742">
        <v>530059</v>
      </c>
      <c r="W158" s="742">
        <v>158798</v>
      </c>
      <c r="X158" s="742">
        <v>8362</v>
      </c>
      <c r="Y158" s="742">
        <v>262</v>
      </c>
      <c r="Z158" s="742">
        <v>9602</v>
      </c>
      <c r="AA158" s="742">
        <v>12129</v>
      </c>
      <c r="AB158" s="742">
        <v>0</v>
      </c>
      <c r="AC158" s="742">
        <v>0</v>
      </c>
      <c r="AD158" s="742">
        <v>1732187</v>
      </c>
    </row>
    <row r="159" spans="1:30" ht="16.5" customHeight="1">
      <c r="A159" s="1455"/>
      <c r="B159" s="725" t="s">
        <v>197</v>
      </c>
      <c r="C159" s="742">
        <v>132211</v>
      </c>
      <c r="D159" s="742">
        <v>69489</v>
      </c>
      <c r="E159" s="742"/>
      <c r="F159" s="742">
        <v>41319</v>
      </c>
      <c r="G159" s="742">
        <v>0</v>
      </c>
      <c r="H159" s="742">
        <v>14173</v>
      </c>
      <c r="I159" s="742">
        <v>0</v>
      </c>
      <c r="J159" s="742">
        <v>59009</v>
      </c>
      <c r="K159" s="742">
        <v>0</v>
      </c>
      <c r="L159" s="742">
        <v>750</v>
      </c>
      <c r="M159" s="742">
        <v>41006</v>
      </c>
      <c r="N159" s="742">
        <v>0</v>
      </c>
      <c r="O159" s="742">
        <v>0</v>
      </c>
      <c r="P159" s="742">
        <v>0</v>
      </c>
      <c r="Q159" s="742">
        <v>288468</v>
      </c>
      <c r="R159" s="1455"/>
      <c r="S159" s="725" t="s">
        <v>197</v>
      </c>
      <c r="T159" s="742">
        <v>922045</v>
      </c>
      <c r="U159" s="742">
        <v>245118</v>
      </c>
      <c r="V159" s="742">
        <v>525965</v>
      </c>
      <c r="W159" s="742">
        <v>158798</v>
      </c>
      <c r="X159" s="742">
        <v>8362</v>
      </c>
      <c r="Y159" s="742">
        <v>244</v>
      </c>
      <c r="Z159" s="742">
        <v>7016</v>
      </c>
      <c r="AA159" s="742">
        <v>16833</v>
      </c>
      <c r="AB159" s="742">
        <v>0</v>
      </c>
      <c r="AC159" s="742">
        <v>0</v>
      </c>
      <c r="AD159" s="742">
        <v>1725583</v>
      </c>
    </row>
    <row r="160" spans="1:32" ht="16.5" customHeight="1">
      <c r="A160" s="1456"/>
      <c r="B160" s="725" t="s">
        <v>824</v>
      </c>
      <c r="C160" s="742">
        <v>130403</v>
      </c>
      <c r="D160" s="742">
        <v>71368</v>
      </c>
      <c r="E160" s="742">
        <v>749</v>
      </c>
      <c r="F160" s="742">
        <v>41565</v>
      </c>
      <c r="G160" s="742">
        <v>0</v>
      </c>
      <c r="H160" s="742">
        <v>13864</v>
      </c>
      <c r="I160" s="742">
        <v>0</v>
      </c>
      <c r="J160" s="742">
        <v>58371</v>
      </c>
      <c r="K160" s="742">
        <v>0</v>
      </c>
      <c r="L160" s="742">
        <v>750</v>
      </c>
      <c r="M160" s="742">
        <v>41006</v>
      </c>
      <c r="N160" s="742">
        <v>12000</v>
      </c>
      <c r="O160" s="742">
        <v>32926</v>
      </c>
      <c r="P160" s="742">
        <v>13</v>
      </c>
      <c r="Q160" s="742">
        <v>331647</v>
      </c>
      <c r="R160" s="1456"/>
      <c r="S160" s="725" t="s">
        <v>824</v>
      </c>
      <c r="T160" s="742">
        <v>910755</v>
      </c>
      <c r="U160" s="742">
        <v>241826</v>
      </c>
      <c r="V160" s="742">
        <v>505741</v>
      </c>
      <c r="W160" s="742">
        <v>150584</v>
      </c>
      <c r="X160" s="742">
        <v>8362</v>
      </c>
      <c r="Y160" s="742">
        <v>244</v>
      </c>
      <c r="Z160" s="742">
        <v>6365</v>
      </c>
      <c r="AA160" s="742">
        <v>15763</v>
      </c>
      <c r="AB160" s="742">
        <v>32926</v>
      </c>
      <c r="AC160" s="742">
        <v>-19376</v>
      </c>
      <c r="AD160" s="742">
        <v>1702606</v>
      </c>
      <c r="AE160" s="727">
        <v>0</v>
      </c>
      <c r="AF160" s="727">
        <v>0</v>
      </c>
    </row>
    <row r="161" spans="1:30" ht="16.5" customHeight="1" hidden="1">
      <c r="A161" s="743" t="s">
        <v>199</v>
      </c>
      <c r="F161" s="744"/>
      <c r="H161" s="721">
        <v>13728</v>
      </c>
      <c r="J161" s="721">
        <v>58507</v>
      </c>
      <c r="L161" s="721">
        <v>750</v>
      </c>
      <c r="M161" s="745">
        <v>41006</v>
      </c>
      <c r="P161" s="721">
        <v>12</v>
      </c>
      <c r="Q161" s="721">
        <v>290641</v>
      </c>
      <c r="R161" s="743" t="s">
        <v>199</v>
      </c>
      <c r="T161" s="727">
        <v>910756</v>
      </c>
      <c r="U161" s="727">
        <v>241827</v>
      </c>
      <c r="V161" s="727">
        <v>505978</v>
      </c>
      <c r="W161" s="727">
        <v>0</v>
      </c>
      <c r="X161" s="727">
        <v>8362</v>
      </c>
      <c r="Y161" s="727">
        <v>244</v>
      </c>
      <c r="Z161" s="727">
        <v>6365</v>
      </c>
      <c r="AA161" s="727">
        <v>15762</v>
      </c>
      <c r="AB161" s="727">
        <v>32926</v>
      </c>
      <c r="AC161" s="727">
        <v>-19376</v>
      </c>
      <c r="AD161" s="727">
        <v>1702844</v>
      </c>
    </row>
    <row r="162" spans="1:32" ht="16.5" customHeight="1" hidden="1">
      <c r="A162" s="743" t="s">
        <v>200</v>
      </c>
      <c r="C162" s="727"/>
      <c r="D162" s="727"/>
      <c r="E162" s="727"/>
      <c r="F162" s="746"/>
      <c r="G162" s="727"/>
      <c r="H162" s="727">
        <v>0</v>
      </c>
      <c r="I162" s="727"/>
      <c r="J162" s="727">
        <v>0</v>
      </c>
      <c r="K162" s="727"/>
      <c r="L162" s="727">
        <v>0</v>
      </c>
      <c r="M162" s="747">
        <v>11349</v>
      </c>
      <c r="N162" s="727"/>
      <c r="O162" s="727"/>
      <c r="P162" s="727">
        <v>0</v>
      </c>
      <c r="Q162" s="727"/>
      <c r="R162" s="743" t="s">
        <v>200</v>
      </c>
      <c r="T162" s="727">
        <v>-1</v>
      </c>
      <c r="U162" s="727">
        <v>-1</v>
      </c>
      <c r="V162" s="727">
        <v>-237</v>
      </c>
      <c r="W162" s="727">
        <v>150584</v>
      </c>
      <c r="X162" s="727">
        <v>0</v>
      </c>
      <c r="Y162" s="727">
        <v>0</v>
      </c>
      <c r="Z162" s="727">
        <v>0</v>
      </c>
      <c r="AA162" s="727">
        <v>1</v>
      </c>
      <c r="AB162" s="727">
        <v>0</v>
      </c>
      <c r="AC162" s="727">
        <v>0</v>
      </c>
      <c r="AD162" s="727">
        <v>-238</v>
      </c>
      <c r="AE162" s="727"/>
      <c r="AF162" s="727"/>
    </row>
    <row r="163" spans="6:30" ht="16.5" customHeight="1" hidden="1">
      <c r="F163" s="748"/>
      <c r="T163" s="749"/>
      <c r="U163" s="749"/>
      <c r="V163" s="749"/>
      <c r="W163" s="727"/>
      <c r="X163" s="727"/>
      <c r="Y163" s="727"/>
      <c r="Z163" s="727"/>
      <c r="AA163" s="727"/>
      <c r="AB163" s="727"/>
      <c r="AC163" s="727"/>
      <c r="AD163" s="727"/>
    </row>
    <row r="164" spans="20:30" ht="12.75" hidden="1">
      <c r="T164" s="749"/>
      <c r="U164" s="749"/>
      <c r="V164" s="749"/>
      <c r="W164" s="727"/>
      <c r="X164" s="727"/>
      <c r="Y164" s="727"/>
      <c r="Z164" s="727"/>
      <c r="AA164" s="727"/>
      <c r="AB164" s="727"/>
      <c r="AC164" s="727"/>
      <c r="AD164" s="727">
        <v>1702606</v>
      </c>
    </row>
    <row r="165" spans="20:30" ht="12.75">
      <c r="T165" s="727"/>
      <c r="U165" s="727"/>
      <c r="V165" s="727"/>
      <c r="W165" s="727"/>
      <c r="X165" s="727"/>
      <c r="Y165" s="727"/>
      <c r="Z165" s="727"/>
      <c r="AA165" s="727"/>
      <c r="AB165" s="727"/>
      <c r="AC165" s="727"/>
      <c r="AD165" s="727"/>
    </row>
    <row r="166" spans="1:30" ht="12.75">
      <c r="A166" s="721" t="s">
        <v>201</v>
      </c>
      <c r="R166" s="721" t="s">
        <v>201</v>
      </c>
      <c r="T166" s="727"/>
      <c r="U166" s="727"/>
      <c r="V166" s="727"/>
      <c r="W166" s="727"/>
      <c r="X166" s="727"/>
      <c r="Y166" s="727"/>
      <c r="Z166" s="727"/>
      <c r="AA166" s="727"/>
      <c r="AB166" s="727"/>
      <c r="AC166" s="727"/>
      <c r="AD166" s="727"/>
    </row>
    <row r="167" spans="20:30" ht="12.75">
      <c r="T167" s="727"/>
      <c r="U167" s="727"/>
      <c r="V167" s="727"/>
      <c r="W167" s="727"/>
      <c r="X167" s="727"/>
      <c r="Y167" s="727"/>
      <c r="Z167" s="727"/>
      <c r="AA167" s="727"/>
      <c r="AB167" s="727"/>
      <c r="AC167" s="727"/>
      <c r="AD167" s="727"/>
    </row>
    <row r="168" spans="20:30" ht="12.75">
      <c r="T168" s="727"/>
      <c r="U168" s="727"/>
      <c r="V168" s="727"/>
      <c r="W168" s="727"/>
      <c r="X168" s="727"/>
      <c r="Y168" s="727"/>
      <c r="Z168" s="727"/>
      <c r="AA168" s="727"/>
      <c r="AB168" s="727"/>
      <c r="AC168" s="727"/>
      <c r="AD168" s="727"/>
    </row>
    <row r="169" ht="12.75">
      <c r="T169" s="727"/>
    </row>
  </sheetData>
  <mergeCells count="67">
    <mergeCell ref="A1:Q1"/>
    <mergeCell ref="A2:B3"/>
    <mergeCell ref="C2:C3"/>
    <mergeCell ref="D2:D3"/>
    <mergeCell ref="F2:F3"/>
    <mergeCell ref="G2:G3"/>
    <mergeCell ref="H2:I2"/>
    <mergeCell ref="J2:K2"/>
    <mergeCell ref="L2:L3"/>
    <mergeCell ref="AD2:AD3"/>
    <mergeCell ref="A4:A10"/>
    <mergeCell ref="A11:A17"/>
    <mergeCell ref="A18:A23"/>
    <mergeCell ref="M2:N2"/>
    <mergeCell ref="Q2:Q3"/>
    <mergeCell ref="T2:X2"/>
    <mergeCell ref="Z2:AA2"/>
    <mergeCell ref="R2:S3"/>
    <mergeCell ref="R4:R10"/>
    <mergeCell ref="A24:A29"/>
    <mergeCell ref="A30:A35"/>
    <mergeCell ref="A36:A41"/>
    <mergeCell ref="A42:A47"/>
    <mergeCell ref="A48:A53"/>
    <mergeCell ref="A54:A59"/>
    <mergeCell ref="A60:A65"/>
    <mergeCell ref="A66:A71"/>
    <mergeCell ref="A72:A77"/>
    <mergeCell ref="A78:A83"/>
    <mergeCell ref="A84:A89"/>
    <mergeCell ref="A90:A95"/>
    <mergeCell ref="A96:A101"/>
    <mergeCell ref="A102:A107"/>
    <mergeCell ref="A108:A113"/>
    <mergeCell ref="A114:A119"/>
    <mergeCell ref="A144:A149"/>
    <mergeCell ref="A150:A160"/>
    <mergeCell ref="A120:A125"/>
    <mergeCell ref="A126:A131"/>
    <mergeCell ref="A132:A137"/>
    <mergeCell ref="A138:A143"/>
    <mergeCell ref="R11:R17"/>
    <mergeCell ref="R18:R23"/>
    <mergeCell ref="R24:R29"/>
    <mergeCell ref="R30:R35"/>
    <mergeCell ref="R72:R77"/>
    <mergeCell ref="R78:R83"/>
    <mergeCell ref="R36:R41"/>
    <mergeCell ref="R42:R47"/>
    <mergeCell ref="R48:R53"/>
    <mergeCell ref="R54:R59"/>
    <mergeCell ref="R144:R149"/>
    <mergeCell ref="R150:R160"/>
    <mergeCell ref="R108:R113"/>
    <mergeCell ref="R114:R119"/>
    <mergeCell ref="R120:R125"/>
    <mergeCell ref="R126:R131"/>
    <mergeCell ref="R1:AD1"/>
    <mergeCell ref="E2:E3"/>
    <mergeCell ref="R132:R137"/>
    <mergeCell ref="R138:R143"/>
    <mergeCell ref="R84:R89"/>
    <mergeCell ref="R90:R95"/>
    <mergeCell ref="R96:R101"/>
    <mergeCell ref="R102:R107"/>
    <mergeCell ref="R60:R65"/>
    <mergeCell ref="R66:R71"/>
  </mergeCells>
  <printOptions horizontalCentered="1"/>
  <pageMargins left="0.7874015748031497" right="0.7874015748031497" top="0.984251968503937" bottom="0.984251968503937" header="0.5118110236220472" footer="0.5118110236220472"/>
  <pageSetup fitToWidth="2" horizontalDpi="600" verticalDpi="600" orientation="portrait" paperSize="9" scale="54" r:id="rId1"/>
  <headerFooter alignWithMargins="0">
    <oddHeader>&amp;L6. melléklet a 14/2013. (V.2.) önkormányzati rendelethez
</oddHeader>
  </headerFooter>
  <rowBreaks count="1" manualBreakCount="1">
    <brk id="101" max="30" man="1"/>
  </rowBreaks>
  <colBreaks count="1" manualBreakCount="1">
    <brk id="17" max="159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81"/>
  <sheetViews>
    <sheetView view="pageBreakPreview" zoomScaleSheetLayoutView="100" workbookViewId="0" topLeftCell="A43">
      <selection activeCell="A72" sqref="A72:IV72"/>
    </sheetView>
  </sheetViews>
  <sheetFormatPr defaultColWidth="9.00390625" defaultRowHeight="12.75"/>
  <cols>
    <col min="1" max="1" width="93.625" style="361" customWidth="1"/>
    <col min="2" max="2" width="15.625" style="393" customWidth="1"/>
    <col min="3" max="3" width="10.875" style="393" hidden="1" customWidth="1"/>
    <col min="4" max="5" width="15.625" style="669" customWidth="1"/>
    <col min="6" max="6" width="12.25390625" style="361" customWidth="1"/>
    <col min="7" max="7" width="8.625" style="361" customWidth="1"/>
    <col min="8" max="8" width="13.00390625" style="361" customWidth="1"/>
    <col min="9" max="16384" width="9.125" style="361" customWidth="1"/>
  </cols>
  <sheetData>
    <row r="1" spans="2:3" ht="12.75">
      <c r="B1" s="361"/>
      <c r="C1" s="361"/>
    </row>
    <row r="2" spans="1:5" ht="15.75">
      <c r="A2" s="1461" t="s">
        <v>213</v>
      </c>
      <c r="B2" s="1461"/>
      <c r="C2" s="1461"/>
      <c r="D2" s="1461"/>
      <c r="E2" s="1461"/>
    </row>
    <row r="3" spans="1:5" ht="15.75">
      <c r="A3" s="1462" t="s">
        <v>214</v>
      </c>
      <c r="B3" s="1462"/>
      <c r="C3" s="1462"/>
      <c r="D3" s="1462"/>
      <c r="E3" s="1462"/>
    </row>
    <row r="4" ht="13.5" thickBot="1"/>
    <row r="5" spans="1:5" s="383" customFormat="1" ht="13.5" thickBot="1">
      <c r="A5" s="670" t="s">
        <v>873</v>
      </c>
      <c r="B5" s="671" t="s">
        <v>753</v>
      </c>
      <c r="C5" s="671" t="s">
        <v>1027</v>
      </c>
      <c r="D5" s="404" t="s">
        <v>550</v>
      </c>
      <c r="E5" s="672" t="s">
        <v>535</v>
      </c>
    </row>
    <row r="6" spans="1:5" ht="12.75">
      <c r="A6" s="424"/>
      <c r="B6" s="425"/>
      <c r="C6" s="425"/>
      <c r="D6" s="673"/>
      <c r="E6" s="674"/>
    </row>
    <row r="7" spans="1:5" ht="12.75">
      <c r="A7" s="375" t="s">
        <v>552</v>
      </c>
      <c r="B7" s="381">
        <f>SUM(B9,B26,B43)</f>
        <v>1533282</v>
      </c>
      <c r="C7" s="381">
        <f>SUM(C9,C26,C43)</f>
        <v>1614496.6</v>
      </c>
      <c r="D7" s="675">
        <f>SUM(D9,D26,D43)</f>
        <v>750678</v>
      </c>
      <c r="E7" s="676">
        <f>SUM(E9,E26,E43)</f>
        <v>180469</v>
      </c>
    </row>
    <row r="8" spans="1:5" ht="12.75">
      <c r="A8" s="380"/>
      <c r="B8" s="376"/>
      <c r="C8" s="376"/>
      <c r="D8" s="677"/>
      <c r="E8" s="678"/>
    </row>
    <row r="9" spans="1:5" ht="12.75">
      <c r="A9" s="375" t="s">
        <v>215</v>
      </c>
      <c r="B9" s="381">
        <f>SUM(B10+B11+B12+B13)</f>
        <v>1532782</v>
      </c>
      <c r="C9" s="381">
        <f>SUM(C10:C18)</f>
        <v>1564972</v>
      </c>
      <c r="D9" s="675">
        <f>SUM(D10:D24)</f>
        <v>666021</v>
      </c>
      <c r="E9" s="676">
        <f>SUM(E10:E24)</f>
        <v>104882</v>
      </c>
    </row>
    <row r="10" spans="1:6" ht="12.75">
      <c r="A10" s="384" t="s">
        <v>216</v>
      </c>
      <c r="B10" s="376">
        <v>683424</v>
      </c>
      <c r="C10" s="376">
        <v>683424</v>
      </c>
      <c r="D10" s="677">
        <f>250000-8900-166-373-876</f>
        <v>239685</v>
      </c>
      <c r="E10" s="678">
        <v>0</v>
      </c>
      <c r="F10" s="393"/>
    </row>
    <row r="11" spans="1:6" ht="25.5">
      <c r="A11" s="384" t="s">
        <v>217</v>
      </c>
      <c r="B11" s="376">
        <v>479486</v>
      </c>
      <c r="C11" s="376">
        <f>479486+1193</f>
        <v>480679</v>
      </c>
      <c r="D11" s="677">
        <v>23244</v>
      </c>
      <c r="E11" s="678">
        <f>9352+450+300+390+400-15+830+1000+450+300+390+20+15+20+14</f>
        <v>13916</v>
      </c>
      <c r="F11" s="393"/>
    </row>
    <row r="12" spans="1:6" ht="25.5">
      <c r="A12" s="384" t="s">
        <v>218</v>
      </c>
      <c r="B12" s="376">
        <v>32310</v>
      </c>
      <c r="C12" s="376">
        <v>32310</v>
      </c>
      <c r="D12" s="677">
        <v>39812</v>
      </c>
      <c r="E12" s="678">
        <f>41412-2260</f>
        <v>39152</v>
      </c>
      <c r="F12" s="393"/>
    </row>
    <row r="13" spans="1:6" ht="38.25">
      <c r="A13" s="384" t="s">
        <v>219</v>
      </c>
      <c r="B13" s="376">
        <f>374636-7351-13000-16723</f>
        <v>337562</v>
      </c>
      <c r="C13" s="376">
        <v>337562</v>
      </c>
      <c r="D13" s="677">
        <v>60000</v>
      </c>
      <c r="E13" s="678">
        <v>15825</v>
      </c>
      <c r="F13" s="393"/>
    </row>
    <row r="14" spans="1:6" ht="25.5">
      <c r="A14" s="384" t="s">
        <v>220</v>
      </c>
      <c r="B14" s="376"/>
      <c r="C14" s="376">
        <v>9238</v>
      </c>
      <c r="D14" s="677">
        <v>9238</v>
      </c>
      <c r="E14" s="678">
        <v>9238</v>
      </c>
      <c r="F14" s="393"/>
    </row>
    <row r="15" spans="1:6" ht="25.5">
      <c r="A15" s="384" t="s">
        <v>221</v>
      </c>
      <c r="B15" s="376"/>
      <c r="C15" s="376">
        <v>10035</v>
      </c>
      <c r="D15" s="677">
        <v>10035</v>
      </c>
      <c r="E15" s="678">
        <v>10035</v>
      </c>
      <c r="F15" s="393"/>
    </row>
    <row r="16" spans="1:6" ht="38.25">
      <c r="A16" s="384" t="s">
        <v>222</v>
      </c>
      <c r="B16" s="376"/>
      <c r="C16" s="376">
        <v>2025</v>
      </c>
      <c r="D16" s="677">
        <v>19900</v>
      </c>
      <c r="E16" s="678">
        <v>0</v>
      </c>
      <c r="F16" s="393"/>
    </row>
    <row r="17" spans="1:6" ht="25.5">
      <c r="A17" s="384" t="s">
        <v>223</v>
      </c>
      <c r="B17" s="376"/>
      <c r="C17" s="376">
        <v>4699</v>
      </c>
      <c r="D17" s="677">
        <v>9398</v>
      </c>
      <c r="E17" s="678">
        <v>9398</v>
      </c>
      <c r="F17" s="393"/>
    </row>
    <row r="18" spans="1:6" ht="25.5">
      <c r="A18" s="384" t="s">
        <v>224</v>
      </c>
      <c r="B18" s="376"/>
      <c r="C18" s="376">
        <v>5000</v>
      </c>
      <c r="D18" s="677">
        <v>5000</v>
      </c>
      <c r="E18" s="678">
        <v>0</v>
      </c>
      <c r="F18" s="393"/>
    </row>
    <row r="19" spans="1:6" ht="25.5">
      <c r="A19" s="384" t="s">
        <v>225</v>
      </c>
      <c r="B19" s="376"/>
      <c r="C19" s="376"/>
      <c r="D19" s="677">
        <v>11799</v>
      </c>
      <c r="E19" s="678">
        <f>953+127+495+864+2540+508+600+50</f>
        <v>6137</v>
      </c>
      <c r="F19" s="393"/>
    </row>
    <row r="20" spans="1:6" ht="25.5">
      <c r="A20" s="384" t="s">
        <v>226</v>
      </c>
      <c r="B20" s="376"/>
      <c r="C20" s="376"/>
      <c r="D20" s="677">
        <v>8128</v>
      </c>
      <c r="E20" s="678">
        <v>0</v>
      </c>
      <c r="F20" s="393"/>
    </row>
    <row r="21" spans="1:6" ht="12.75">
      <c r="A21" s="380" t="s">
        <v>227</v>
      </c>
      <c r="B21" s="376"/>
      <c r="C21" s="376"/>
      <c r="D21" s="677">
        <v>24682</v>
      </c>
      <c r="E21" s="678">
        <v>0</v>
      </c>
      <c r="F21" s="393"/>
    </row>
    <row r="22" spans="1:6" ht="12.75">
      <c r="A22" s="380" t="s">
        <v>228</v>
      </c>
      <c r="B22" s="376"/>
      <c r="C22" s="376"/>
      <c r="D22" s="677">
        <v>7000</v>
      </c>
      <c r="E22" s="678">
        <v>0</v>
      </c>
      <c r="F22" s="393"/>
    </row>
    <row r="23" spans="1:6" ht="38.25">
      <c r="A23" s="384" t="s">
        <v>219</v>
      </c>
      <c r="B23" s="376"/>
      <c r="C23" s="376"/>
      <c r="D23" s="677">
        <v>75290</v>
      </c>
      <c r="E23" s="678">
        <v>0</v>
      </c>
      <c r="F23" s="393"/>
    </row>
    <row r="24" spans="1:6" ht="12.75">
      <c r="A24" s="380" t="s">
        <v>229</v>
      </c>
      <c r="B24" s="376"/>
      <c r="C24" s="376"/>
      <c r="D24" s="677">
        <v>122810</v>
      </c>
      <c r="E24" s="678">
        <f>1181</f>
        <v>1181</v>
      </c>
      <c r="F24" s="393"/>
    </row>
    <row r="25" spans="1:6" ht="12.75">
      <c r="A25" s="384"/>
      <c r="B25" s="376"/>
      <c r="C25" s="376"/>
      <c r="D25" s="677"/>
      <c r="E25" s="678"/>
      <c r="F25" s="393"/>
    </row>
    <row r="26" spans="1:6" s="680" customFormat="1" ht="12.75">
      <c r="A26" s="679" t="s">
        <v>230</v>
      </c>
      <c r="B26" s="381">
        <v>0</v>
      </c>
      <c r="C26" s="381">
        <f>SUM(C27:C29)</f>
        <v>45045</v>
      </c>
      <c r="D26" s="675">
        <f>SUM(D27:D41)</f>
        <v>68979</v>
      </c>
      <c r="E26" s="676">
        <f>SUM(E27:E41)</f>
        <v>61111</v>
      </c>
      <c r="F26" s="393"/>
    </row>
    <row r="27" spans="1:6" ht="12.75" customHeight="1">
      <c r="A27" s="384" t="s">
        <v>233</v>
      </c>
      <c r="B27" s="376"/>
      <c r="C27" s="376">
        <v>38000</v>
      </c>
      <c r="D27" s="677">
        <v>38000</v>
      </c>
      <c r="E27" s="678">
        <v>36389</v>
      </c>
      <c r="F27" s="393"/>
    </row>
    <row r="28" spans="1:6" ht="12.75" customHeight="1">
      <c r="A28" s="384" t="s">
        <v>234</v>
      </c>
      <c r="B28" s="376"/>
      <c r="C28" s="376">
        <v>4445</v>
      </c>
      <c r="D28" s="677">
        <v>4445</v>
      </c>
      <c r="E28" s="678">
        <v>4358</v>
      </c>
      <c r="F28" s="393"/>
    </row>
    <row r="29" spans="1:6" ht="12.75" customHeight="1">
      <c r="A29" s="384" t="s">
        <v>235</v>
      </c>
      <c r="B29" s="376"/>
      <c r="C29" s="376">
        <v>2600</v>
      </c>
      <c r="D29" s="677">
        <v>2600</v>
      </c>
      <c r="E29" s="678">
        <v>2600</v>
      </c>
      <c r="F29" s="393"/>
    </row>
    <row r="30" spans="1:6" ht="12.75" customHeight="1">
      <c r="A30" s="384" t="s">
        <v>255</v>
      </c>
      <c r="B30" s="376"/>
      <c r="C30" s="376"/>
      <c r="D30" s="677">
        <v>279</v>
      </c>
      <c r="E30" s="678">
        <v>101</v>
      </c>
      <c r="F30" s="393"/>
    </row>
    <row r="31" spans="1:6" ht="12.75" customHeight="1">
      <c r="A31" s="384" t="s">
        <v>256</v>
      </c>
      <c r="B31" s="376"/>
      <c r="C31" s="376"/>
      <c r="D31" s="677">
        <v>2864</v>
      </c>
      <c r="E31" s="678">
        <v>0</v>
      </c>
      <c r="F31" s="393"/>
    </row>
    <row r="32" spans="1:6" ht="12.75" customHeight="1">
      <c r="A32" s="384" t="s">
        <v>257</v>
      </c>
      <c r="B32" s="376"/>
      <c r="C32" s="376"/>
      <c r="D32" s="677">
        <v>2540</v>
      </c>
      <c r="E32" s="678">
        <v>2435</v>
      </c>
      <c r="F32" s="393"/>
    </row>
    <row r="33" spans="1:6" ht="12.75">
      <c r="A33" s="384" t="s">
        <v>258</v>
      </c>
      <c r="B33" s="376"/>
      <c r="C33" s="376"/>
      <c r="D33" s="677">
        <v>1052</v>
      </c>
      <c r="E33" s="678">
        <f>451+600</f>
        <v>1051</v>
      </c>
      <c r="F33" s="393"/>
    </row>
    <row r="34" spans="1:6" ht="12.75">
      <c r="A34" s="384" t="s">
        <v>259</v>
      </c>
      <c r="B34" s="376"/>
      <c r="C34" s="376"/>
      <c r="D34" s="677">
        <v>264</v>
      </c>
      <c r="E34" s="678">
        <v>264</v>
      </c>
      <c r="F34" s="393"/>
    </row>
    <row r="35" spans="1:6" ht="25.5">
      <c r="A35" s="384" t="s">
        <v>260</v>
      </c>
      <c r="B35" s="376"/>
      <c r="C35" s="376"/>
      <c r="D35" s="677">
        <v>9000</v>
      </c>
      <c r="E35" s="678">
        <f>5500+3500</f>
        <v>9000</v>
      </c>
      <c r="F35" s="393"/>
    </row>
    <row r="36" spans="1:6" ht="12.75">
      <c r="A36" s="384" t="s">
        <v>261</v>
      </c>
      <c r="B36" s="376"/>
      <c r="C36" s="376"/>
      <c r="D36" s="677">
        <v>909</v>
      </c>
      <c r="E36" s="678">
        <f>262+108+444</f>
        <v>814</v>
      </c>
      <c r="F36" s="393"/>
    </row>
    <row r="37" spans="1:6" ht="12.75">
      <c r="A37" s="384" t="s">
        <v>262</v>
      </c>
      <c r="B37" s="376"/>
      <c r="C37" s="376"/>
      <c r="D37" s="677">
        <v>1016</v>
      </c>
      <c r="E37" s="678">
        <f>289</f>
        <v>289</v>
      </c>
      <c r="F37" s="393"/>
    </row>
    <row r="38" spans="1:6" ht="12.75">
      <c r="A38" s="384" t="s">
        <v>263</v>
      </c>
      <c r="B38" s="376"/>
      <c r="C38" s="376"/>
      <c r="D38" s="677">
        <v>1500</v>
      </c>
      <c r="E38" s="678">
        <v>0</v>
      </c>
      <c r="F38" s="393"/>
    </row>
    <row r="39" spans="1:6" ht="12.75">
      <c r="A39" s="384" t="s">
        <v>264</v>
      </c>
      <c r="B39" s="376"/>
      <c r="C39" s="376"/>
      <c r="D39" s="677">
        <v>200</v>
      </c>
      <c r="E39" s="678">
        <v>0</v>
      </c>
      <c r="F39" s="393"/>
    </row>
    <row r="40" spans="1:6" ht="12.75">
      <c r="A40" s="384" t="s">
        <v>265</v>
      </c>
      <c r="B40" s="376"/>
      <c r="C40" s="376"/>
      <c r="D40" s="677">
        <v>3810</v>
      </c>
      <c r="E40" s="678">
        <v>3810</v>
      </c>
      <c r="F40" s="393"/>
    </row>
    <row r="41" spans="1:6" ht="12.75">
      <c r="A41" s="384" t="s">
        <v>266</v>
      </c>
      <c r="B41" s="376"/>
      <c r="C41" s="376"/>
      <c r="D41" s="677">
        <v>500</v>
      </c>
      <c r="E41" s="678">
        <v>0</v>
      </c>
      <c r="F41" s="393"/>
    </row>
    <row r="42" spans="1:6" ht="12.75" customHeight="1">
      <c r="A42" s="384"/>
      <c r="B42" s="376"/>
      <c r="C42" s="376"/>
      <c r="D42" s="677"/>
      <c r="E42" s="678"/>
      <c r="F42" s="393"/>
    </row>
    <row r="43" spans="1:6" s="680" customFormat="1" ht="12.75" customHeight="1">
      <c r="A43" s="679" t="s">
        <v>267</v>
      </c>
      <c r="B43" s="381">
        <v>500</v>
      </c>
      <c r="C43" s="381">
        <f>SUM(C44:C48)</f>
        <v>4479.6</v>
      </c>
      <c r="D43" s="382">
        <f>SUM(D44:D58)</f>
        <v>15678</v>
      </c>
      <c r="E43" s="681">
        <f>SUM(E44:E58)</f>
        <v>14476</v>
      </c>
      <c r="F43" s="393"/>
    </row>
    <row r="44" spans="1:6" s="680" customFormat="1" ht="12.75" customHeight="1">
      <c r="A44" s="384" t="s">
        <v>268</v>
      </c>
      <c r="B44" s="376">
        <v>500</v>
      </c>
      <c r="C44" s="376">
        <v>500</v>
      </c>
      <c r="D44" s="677">
        <v>500</v>
      </c>
      <c r="E44" s="678">
        <f>343+61+96</f>
        <v>500</v>
      </c>
      <c r="F44" s="393"/>
    </row>
    <row r="45" spans="1:6" ht="12.75" customHeight="1">
      <c r="A45" s="384" t="s">
        <v>269</v>
      </c>
      <c r="B45" s="376"/>
      <c r="C45" s="376">
        <v>90</v>
      </c>
      <c r="D45" s="677">
        <v>90</v>
      </c>
      <c r="E45" s="678">
        <v>90</v>
      </c>
      <c r="F45" s="393"/>
    </row>
    <row r="46" spans="1:6" ht="12.75" customHeight="1">
      <c r="A46" s="384" t="s">
        <v>270</v>
      </c>
      <c r="B46" s="376"/>
      <c r="C46" s="376">
        <v>950</v>
      </c>
      <c r="D46" s="677">
        <v>950</v>
      </c>
      <c r="E46" s="678">
        <v>936</v>
      </c>
      <c r="F46" s="393"/>
    </row>
    <row r="47" spans="1:6" ht="12.75" customHeight="1">
      <c r="A47" s="384" t="s">
        <v>271</v>
      </c>
      <c r="B47" s="376"/>
      <c r="C47" s="376">
        <v>1187</v>
      </c>
      <c r="D47" s="677">
        <v>1187</v>
      </c>
      <c r="E47" s="678">
        <v>0</v>
      </c>
      <c r="F47" s="393"/>
    </row>
    <row r="48" spans="1:6" ht="12.75" customHeight="1">
      <c r="A48" s="384" t="s">
        <v>272</v>
      </c>
      <c r="B48" s="376"/>
      <c r="C48" s="376">
        <f>1380*1.27</f>
        <v>1752.6000000000001</v>
      </c>
      <c r="D48" s="677">
        <v>1753</v>
      </c>
      <c r="E48" s="678">
        <v>1753</v>
      </c>
      <c r="F48" s="393"/>
    </row>
    <row r="49" spans="1:6" ht="12.75" customHeight="1">
      <c r="A49" s="384" t="s">
        <v>273</v>
      </c>
      <c r="B49" s="376"/>
      <c r="C49" s="376"/>
      <c r="D49" s="677">
        <v>701</v>
      </c>
      <c r="E49" s="678">
        <v>700</v>
      </c>
      <c r="F49" s="393"/>
    </row>
    <row r="50" spans="1:6" ht="12.75" customHeight="1">
      <c r="A50" s="384" t="s">
        <v>280</v>
      </c>
      <c r="B50" s="376"/>
      <c r="C50" s="376"/>
      <c r="D50" s="677">
        <v>88</v>
      </c>
      <c r="E50" s="678">
        <v>88</v>
      </c>
      <c r="F50" s="393"/>
    </row>
    <row r="51" spans="1:6" ht="12.75" customHeight="1">
      <c r="A51" s="384" t="s">
        <v>281</v>
      </c>
      <c r="B51" s="376"/>
      <c r="C51" s="376"/>
      <c r="D51" s="677">
        <v>92</v>
      </c>
      <c r="E51" s="678">
        <v>92</v>
      </c>
      <c r="F51" s="393"/>
    </row>
    <row r="52" spans="1:6" ht="12.75" customHeight="1">
      <c r="A52" s="384" t="s">
        <v>282</v>
      </c>
      <c r="B52" s="376"/>
      <c r="C52" s="376"/>
      <c r="D52" s="677">
        <v>101</v>
      </c>
      <c r="E52" s="678">
        <v>101</v>
      </c>
      <c r="F52" s="393"/>
    </row>
    <row r="53" spans="1:6" ht="12.75" customHeight="1">
      <c r="A53" s="384" t="s">
        <v>283</v>
      </c>
      <c r="B53" s="376"/>
      <c r="C53" s="376"/>
      <c r="D53" s="677">
        <v>3517</v>
      </c>
      <c r="E53" s="678">
        <f>76+3264+177</f>
        <v>3517</v>
      </c>
      <c r="F53" s="393"/>
    </row>
    <row r="54" spans="1:6" ht="12.75" customHeight="1">
      <c r="A54" s="682" t="s">
        <v>284</v>
      </c>
      <c r="B54" s="376"/>
      <c r="C54" s="376"/>
      <c r="D54" s="677">
        <v>3444</v>
      </c>
      <c r="E54" s="678">
        <f>277+3167</f>
        <v>3444</v>
      </c>
      <c r="F54" s="393"/>
    </row>
    <row r="55" spans="1:6" ht="12.75" customHeight="1">
      <c r="A55" s="682" t="s">
        <v>285</v>
      </c>
      <c r="B55" s="376"/>
      <c r="C55" s="376"/>
      <c r="D55" s="677">
        <v>1196</v>
      </c>
      <c r="E55" s="678">
        <v>1196</v>
      </c>
      <c r="F55" s="393"/>
    </row>
    <row r="56" spans="1:6" ht="12.75" customHeight="1">
      <c r="A56" s="682" t="s">
        <v>286</v>
      </c>
      <c r="B56" s="376"/>
      <c r="C56" s="376"/>
      <c r="D56" s="677">
        <v>808</v>
      </c>
      <c r="E56" s="678">
        <v>808</v>
      </c>
      <c r="F56" s="393"/>
    </row>
    <row r="57" spans="1:6" ht="12.75" customHeight="1">
      <c r="A57" s="682" t="s">
        <v>287</v>
      </c>
      <c r="B57" s="376"/>
      <c r="C57" s="376"/>
      <c r="D57" s="677">
        <v>418</v>
      </c>
      <c r="E57" s="678">
        <f>418</f>
        <v>418</v>
      </c>
      <c r="F57" s="393"/>
    </row>
    <row r="58" spans="1:6" ht="12.75" customHeight="1">
      <c r="A58" s="682" t="s">
        <v>288</v>
      </c>
      <c r="B58" s="376"/>
      <c r="C58" s="376"/>
      <c r="D58" s="677">
        <v>833</v>
      </c>
      <c r="E58" s="678">
        <v>833</v>
      </c>
      <c r="F58" s="393"/>
    </row>
    <row r="59" spans="1:6" ht="12.75">
      <c r="A59" s="380"/>
      <c r="B59" s="376"/>
      <c r="C59" s="376"/>
      <c r="D59" s="677"/>
      <c r="E59" s="678"/>
      <c r="F59" s="393"/>
    </row>
    <row r="60" spans="1:6" s="680" customFormat="1" ht="12.75">
      <c r="A60" s="375" t="s">
        <v>876</v>
      </c>
      <c r="B60" s="381"/>
      <c r="C60" s="381"/>
      <c r="D60" s="675">
        <f>SUM(D61:D62)</f>
        <v>19184</v>
      </c>
      <c r="E60" s="676">
        <f>SUM(E61:E62)</f>
        <v>19184</v>
      </c>
      <c r="F60" s="393"/>
    </row>
    <row r="61" spans="1:6" ht="12.75">
      <c r="A61" s="380" t="s">
        <v>289</v>
      </c>
      <c r="B61" s="376"/>
      <c r="C61" s="376"/>
      <c r="D61" s="677">
        <v>18515</v>
      </c>
      <c r="E61" s="678">
        <f>11374+437+3648+2528+142+386</f>
        <v>18515</v>
      </c>
      <c r="F61" s="393"/>
    </row>
    <row r="62" spans="1:6" ht="12.75">
      <c r="A62" s="380" t="s">
        <v>273</v>
      </c>
      <c r="B62" s="376"/>
      <c r="C62" s="376"/>
      <c r="D62" s="677">
        <f>293+376</f>
        <v>669</v>
      </c>
      <c r="E62" s="678">
        <f>293+376</f>
        <v>669</v>
      </c>
      <c r="F62" s="393"/>
    </row>
    <row r="63" spans="1:6" ht="12.75">
      <c r="A63" s="380"/>
      <c r="B63" s="376"/>
      <c r="C63" s="376"/>
      <c r="D63" s="677"/>
      <c r="E63" s="678"/>
      <c r="F63" s="393"/>
    </row>
    <row r="64" spans="1:6" s="383" customFormat="1" ht="12.75">
      <c r="A64" s="375" t="s">
        <v>17</v>
      </c>
      <c r="B64" s="381">
        <v>0</v>
      </c>
      <c r="C64" s="381">
        <f>SUM(C65)</f>
        <v>14918</v>
      </c>
      <c r="D64" s="675">
        <f>SUM(D65)</f>
        <v>14918</v>
      </c>
      <c r="E64" s="676">
        <f>SUM(E65)</f>
        <v>14918</v>
      </c>
      <c r="F64" s="393"/>
    </row>
    <row r="65" spans="1:6" s="683" customFormat="1" ht="12.75">
      <c r="A65" s="380" t="s">
        <v>290</v>
      </c>
      <c r="B65" s="376"/>
      <c r="C65" s="376">
        <v>14918</v>
      </c>
      <c r="D65" s="677">
        <v>14918</v>
      </c>
      <c r="E65" s="678">
        <v>14918</v>
      </c>
      <c r="F65" s="393"/>
    </row>
    <row r="66" spans="1:6" ht="12.75">
      <c r="A66" s="380"/>
      <c r="B66" s="376"/>
      <c r="C66" s="376"/>
      <c r="D66" s="677"/>
      <c r="E66" s="678"/>
      <c r="F66" s="393"/>
    </row>
    <row r="67" spans="1:6" s="383" customFormat="1" ht="12.75">
      <c r="A67" s="375" t="s">
        <v>741</v>
      </c>
      <c r="B67" s="381">
        <v>6719</v>
      </c>
      <c r="C67" s="381">
        <f>SUM(C68:C69)</f>
        <v>6882</v>
      </c>
      <c r="D67" s="675">
        <f>SUM(D68:D74)</f>
        <v>7016</v>
      </c>
      <c r="E67" s="676">
        <f>SUM(E68:E74)</f>
        <v>6365</v>
      </c>
      <c r="F67" s="393"/>
    </row>
    <row r="68" spans="1:6" s="383" customFormat="1" ht="12.75">
      <c r="A68" s="380" t="s">
        <v>291</v>
      </c>
      <c r="B68" s="376">
        <v>6719</v>
      </c>
      <c r="C68" s="376">
        <v>6719</v>
      </c>
      <c r="D68" s="677">
        <f>621+1413+391+590</f>
        <v>3015</v>
      </c>
      <c r="E68" s="678">
        <v>2388</v>
      </c>
      <c r="F68" s="393"/>
    </row>
    <row r="69" spans="1:6" s="383" customFormat="1" ht="12.75">
      <c r="A69" s="380" t="s">
        <v>767</v>
      </c>
      <c r="B69" s="376"/>
      <c r="C69" s="376">
        <v>163</v>
      </c>
      <c r="D69" s="677">
        <v>163</v>
      </c>
      <c r="E69" s="678">
        <v>163</v>
      </c>
      <c r="F69" s="393"/>
    </row>
    <row r="70" spans="1:6" s="383" customFormat="1" ht="12.75">
      <c r="A70" s="380" t="s">
        <v>292</v>
      </c>
      <c r="B70" s="376"/>
      <c r="C70" s="376"/>
      <c r="D70" s="677">
        <v>528</v>
      </c>
      <c r="E70" s="678">
        <v>528</v>
      </c>
      <c r="F70" s="393"/>
    </row>
    <row r="71" spans="1:6" s="383" customFormat="1" ht="12.75">
      <c r="A71" s="380" t="s">
        <v>293</v>
      </c>
      <c r="B71" s="376"/>
      <c r="C71" s="376"/>
      <c r="D71" s="677">
        <v>2262</v>
      </c>
      <c r="E71" s="678">
        <v>2262</v>
      </c>
      <c r="F71" s="393"/>
    </row>
    <row r="72" spans="1:6" s="683" customFormat="1" ht="12.75">
      <c r="A72" s="380" t="s">
        <v>294</v>
      </c>
      <c r="B72" s="376"/>
      <c r="C72" s="376"/>
      <c r="D72" s="677">
        <v>126</v>
      </c>
      <c r="E72" s="678">
        <v>126</v>
      </c>
      <c r="F72" s="393"/>
    </row>
    <row r="73" spans="1:6" s="683" customFormat="1" ht="12.75">
      <c r="A73" s="380" t="s">
        <v>295</v>
      </c>
      <c r="B73" s="376"/>
      <c r="C73" s="376"/>
      <c r="D73" s="677">
        <v>160</v>
      </c>
      <c r="E73" s="678">
        <v>136</v>
      </c>
      <c r="F73" s="393"/>
    </row>
    <row r="74" spans="1:6" s="683" customFormat="1" ht="12.75">
      <c r="A74" s="380" t="s">
        <v>296</v>
      </c>
      <c r="B74" s="376"/>
      <c r="C74" s="376"/>
      <c r="D74" s="677">
        <v>762</v>
      </c>
      <c r="E74" s="678">
        <v>762</v>
      </c>
      <c r="F74" s="393"/>
    </row>
    <row r="75" spans="1:6" s="383" customFormat="1" ht="12.75">
      <c r="A75" s="375"/>
      <c r="B75" s="381"/>
      <c r="C75" s="381"/>
      <c r="D75" s="675"/>
      <c r="E75" s="676"/>
      <c r="F75" s="393"/>
    </row>
    <row r="76" spans="1:6" s="686" customFormat="1" ht="13.5" thickBot="1">
      <c r="A76" s="386" t="s">
        <v>297</v>
      </c>
      <c r="B76" s="387">
        <f>SUM(B7,B64,B67)</f>
        <v>1540001</v>
      </c>
      <c r="C76" s="387">
        <f>SUM(C7,C64,C67)</f>
        <v>1636296.6</v>
      </c>
      <c r="D76" s="684">
        <f>SUM(D7,D64,D67,D60)</f>
        <v>791796</v>
      </c>
      <c r="E76" s="685">
        <f>SUM(E7,E64,E67,E60)</f>
        <v>220936</v>
      </c>
      <c r="F76" s="393"/>
    </row>
    <row r="77" spans="1:6" ht="12.75">
      <c r="A77" s="687"/>
      <c r="B77" s="688"/>
      <c r="C77" s="688"/>
      <c r="D77" s="689"/>
      <c r="E77" s="689"/>
      <c r="F77" s="393"/>
    </row>
    <row r="78" spans="1:6" ht="15.75">
      <c r="A78" s="1460" t="s">
        <v>298</v>
      </c>
      <c r="B78" s="1460"/>
      <c r="C78" s="1460"/>
      <c r="D78" s="1460"/>
      <c r="E78" s="1460"/>
      <c r="F78" s="393"/>
    </row>
    <row r="79" spans="1:6" ht="15.75">
      <c r="A79" s="1463" t="s">
        <v>214</v>
      </c>
      <c r="B79" s="1463"/>
      <c r="C79" s="1463"/>
      <c r="D79" s="1463"/>
      <c r="E79" s="1463"/>
      <c r="F79" s="393"/>
    </row>
    <row r="80" spans="1:6" ht="13.5" thickBot="1">
      <c r="A80" s="690"/>
      <c r="B80" s="688"/>
      <c r="C80" s="688"/>
      <c r="D80" s="689"/>
      <c r="E80" s="689"/>
      <c r="F80" s="393"/>
    </row>
    <row r="81" spans="1:7" ht="13.5" thickBot="1">
      <c r="A81" s="670" t="s">
        <v>873</v>
      </c>
      <c r="B81" s="691" t="s">
        <v>753</v>
      </c>
      <c r="C81" s="691" t="s">
        <v>1027</v>
      </c>
      <c r="D81" s="404" t="s">
        <v>550</v>
      </c>
      <c r="E81" s="692" t="s">
        <v>299</v>
      </c>
      <c r="F81" s="393"/>
      <c r="G81" s="693"/>
    </row>
    <row r="82" spans="1:6" ht="12.75">
      <c r="A82" s="424"/>
      <c r="B82" s="425"/>
      <c r="C82" s="425"/>
      <c r="D82" s="694"/>
      <c r="E82" s="695"/>
      <c r="F82" s="393"/>
    </row>
    <row r="83" spans="1:6" ht="12.75">
      <c r="A83" s="375" t="s">
        <v>552</v>
      </c>
      <c r="B83" s="381">
        <f>SUM(B85,B103,B108,B114)</f>
        <v>2586721</v>
      </c>
      <c r="C83" s="381">
        <f>SUM(C85,C103,C108,C114)</f>
        <v>2249944</v>
      </c>
      <c r="D83" s="675">
        <v>0</v>
      </c>
      <c r="E83" s="676">
        <v>0</v>
      </c>
      <c r="F83" s="393"/>
    </row>
    <row r="84" spans="1:6" s="696" customFormat="1" ht="12.75">
      <c r="A84" s="407"/>
      <c r="B84" s="376"/>
      <c r="C84" s="376"/>
      <c r="D84" s="677"/>
      <c r="E84" s="678"/>
      <c r="F84" s="393"/>
    </row>
    <row r="85" spans="1:6" s="696" customFormat="1" ht="12.75">
      <c r="A85" s="406" t="s">
        <v>215</v>
      </c>
      <c r="B85" s="381">
        <f>SUM(B86:B101)</f>
        <v>2281858</v>
      </c>
      <c r="C85" s="381">
        <f>SUM(C86:C101)</f>
        <v>2005681</v>
      </c>
      <c r="D85" s="675">
        <v>0</v>
      </c>
      <c r="E85" s="676">
        <v>0</v>
      </c>
      <c r="F85" s="393"/>
    </row>
    <row r="86" spans="1:6" ht="12.75">
      <c r="A86" s="380" t="s">
        <v>227</v>
      </c>
      <c r="B86" s="376">
        <v>30000</v>
      </c>
      <c r="C86" s="376">
        <v>30000</v>
      </c>
      <c r="D86" s="677">
        <v>0</v>
      </c>
      <c r="E86" s="678">
        <v>0</v>
      </c>
      <c r="F86" s="393"/>
    </row>
    <row r="87" spans="1:6" ht="25.5">
      <c r="A87" s="384" t="s">
        <v>300</v>
      </c>
      <c r="B87" s="376">
        <v>1400</v>
      </c>
      <c r="C87" s="376">
        <v>1400</v>
      </c>
      <c r="D87" s="677">
        <v>0</v>
      </c>
      <c r="E87" s="678">
        <v>0</v>
      </c>
      <c r="F87" s="393"/>
    </row>
    <row r="88" spans="1:6" ht="12.75">
      <c r="A88" s="380" t="s">
        <v>228</v>
      </c>
      <c r="B88" s="376">
        <v>7000</v>
      </c>
      <c r="C88" s="376">
        <v>7000</v>
      </c>
      <c r="D88" s="677">
        <v>0</v>
      </c>
      <c r="E88" s="678">
        <v>0</v>
      </c>
      <c r="F88" s="393"/>
    </row>
    <row r="89" spans="1:6" s="696" customFormat="1" ht="38.25">
      <c r="A89" s="384" t="s">
        <v>219</v>
      </c>
      <c r="B89" s="376">
        <f>51216+7351+16723</f>
        <v>75290</v>
      </c>
      <c r="C89" s="376">
        <v>75290</v>
      </c>
      <c r="D89" s="677">
        <v>0</v>
      </c>
      <c r="E89" s="678">
        <v>0</v>
      </c>
      <c r="F89" s="393"/>
    </row>
    <row r="90" spans="1:6" ht="12.75">
      <c r="A90" s="380" t="s">
        <v>301</v>
      </c>
      <c r="B90" s="376">
        <v>1147033</v>
      </c>
      <c r="C90" s="376">
        <f>1147033-4950</f>
        <v>1142083</v>
      </c>
      <c r="D90" s="677">
        <v>0</v>
      </c>
      <c r="E90" s="678">
        <v>0</v>
      </c>
      <c r="F90" s="393"/>
    </row>
    <row r="91" spans="1:6" ht="12.75">
      <c r="A91" s="380" t="s">
        <v>302</v>
      </c>
      <c r="B91" s="376">
        <v>15000</v>
      </c>
      <c r="C91" s="376">
        <v>15000</v>
      </c>
      <c r="D91" s="677">
        <v>0</v>
      </c>
      <c r="E91" s="678">
        <v>0</v>
      </c>
      <c r="F91" s="393"/>
    </row>
    <row r="92" spans="1:6" ht="12.75">
      <c r="A92" s="380" t="s">
        <v>1098</v>
      </c>
      <c r="B92" s="376">
        <v>100000</v>
      </c>
      <c r="C92" s="376">
        <v>0</v>
      </c>
      <c r="D92" s="677">
        <v>0</v>
      </c>
      <c r="E92" s="678">
        <v>0</v>
      </c>
      <c r="F92" s="393"/>
    </row>
    <row r="93" spans="1:6" ht="12.75">
      <c r="A93" s="380" t="s">
        <v>1102</v>
      </c>
      <c r="B93" s="376">
        <v>169202</v>
      </c>
      <c r="C93" s="376">
        <v>0</v>
      </c>
      <c r="D93" s="677">
        <v>0</v>
      </c>
      <c r="E93" s="678">
        <v>0</v>
      </c>
      <c r="F93" s="393"/>
    </row>
    <row r="94" spans="1:6" ht="12.75">
      <c r="A94" s="380" t="s">
        <v>1103</v>
      </c>
      <c r="B94" s="376">
        <v>298340</v>
      </c>
      <c r="C94" s="376">
        <v>298340</v>
      </c>
      <c r="D94" s="677">
        <v>0</v>
      </c>
      <c r="E94" s="678">
        <v>0</v>
      </c>
      <c r="F94" s="393"/>
    </row>
    <row r="95" spans="1:6" ht="25.5">
      <c r="A95" s="384" t="s">
        <v>1104</v>
      </c>
      <c r="B95" s="376">
        <v>100000</v>
      </c>
      <c r="C95" s="376">
        <v>100000</v>
      </c>
      <c r="D95" s="677">
        <v>0</v>
      </c>
      <c r="E95" s="678">
        <v>0</v>
      </c>
      <c r="F95" s="393"/>
    </row>
    <row r="96" spans="1:6" ht="12.75">
      <c r="A96" s="380" t="s">
        <v>1106</v>
      </c>
      <c r="B96" s="376">
        <v>45000</v>
      </c>
      <c r="C96" s="376">
        <v>45000</v>
      </c>
      <c r="D96" s="677">
        <v>0</v>
      </c>
      <c r="E96" s="678">
        <v>0</v>
      </c>
      <c r="F96" s="393"/>
    </row>
    <row r="97" spans="1:6" ht="12.75">
      <c r="A97" s="380" t="s">
        <v>303</v>
      </c>
      <c r="B97" s="376">
        <v>121629</v>
      </c>
      <c r="C97" s="376">
        <v>121629</v>
      </c>
      <c r="D97" s="677">
        <v>0</v>
      </c>
      <c r="E97" s="678">
        <v>0</v>
      </c>
      <c r="F97" s="393"/>
    </row>
    <row r="98" spans="1:6" ht="12.75">
      <c r="A98" s="380" t="s">
        <v>304</v>
      </c>
      <c r="B98" s="376">
        <v>92725</v>
      </c>
      <c r="C98" s="376">
        <v>92725</v>
      </c>
      <c r="D98" s="677">
        <v>0</v>
      </c>
      <c r="E98" s="678">
        <v>0</v>
      </c>
      <c r="F98" s="393"/>
    </row>
    <row r="99" spans="1:6" ht="12.75">
      <c r="A99" s="380" t="s">
        <v>305</v>
      </c>
      <c r="B99" s="376">
        <v>2864</v>
      </c>
      <c r="C99" s="376">
        <v>2864</v>
      </c>
      <c r="D99" s="677">
        <v>0</v>
      </c>
      <c r="E99" s="678">
        <v>0</v>
      </c>
      <c r="F99" s="393"/>
    </row>
    <row r="100" spans="1:6" ht="12.75">
      <c r="A100" s="380" t="s">
        <v>1050</v>
      </c>
      <c r="B100" s="376">
        <v>16375</v>
      </c>
      <c r="C100" s="376">
        <v>16375</v>
      </c>
      <c r="D100" s="677">
        <v>0</v>
      </c>
      <c r="E100" s="678">
        <v>0</v>
      </c>
      <c r="F100" s="393"/>
    </row>
    <row r="101" spans="1:6" ht="12.75">
      <c r="A101" s="380" t="s">
        <v>1049</v>
      </c>
      <c r="B101" s="376">
        <v>60000</v>
      </c>
      <c r="C101" s="376">
        <f>60000-2025</f>
        <v>57975</v>
      </c>
      <c r="D101" s="677">
        <v>0</v>
      </c>
      <c r="E101" s="678">
        <v>0</v>
      </c>
      <c r="F101" s="393"/>
    </row>
    <row r="102" spans="1:6" s="696" customFormat="1" ht="12.75">
      <c r="A102" s="380"/>
      <c r="B102" s="376"/>
      <c r="C102" s="376"/>
      <c r="D102" s="677"/>
      <c r="E102" s="678"/>
      <c r="F102" s="393"/>
    </row>
    <row r="103" spans="1:6" ht="12.75">
      <c r="A103" s="375" t="s">
        <v>230</v>
      </c>
      <c r="B103" s="381">
        <f>SUM(B104:B106)</f>
        <v>10350</v>
      </c>
      <c r="C103" s="381">
        <f>SUM(C104:C106)</f>
        <v>10350</v>
      </c>
      <c r="D103" s="675">
        <v>0</v>
      </c>
      <c r="E103" s="676">
        <v>0</v>
      </c>
      <c r="F103" s="393"/>
    </row>
    <row r="104" spans="1:6" ht="12.75">
      <c r="A104" s="384" t="s">
        <v>306</v>
      </c>
      <c r="B104" s="376">
        <v>2000</v>
      </c>
      <c r="C104" s="376">
        <v>2000</v>
      </c>
      <c r="D104" s="677">
        <v>0</v>
      </c>
      <c r="E104" s="678">
        <v>0</v>
      </c>
      <c r="F104" s="393"/>
    </row>
    <row r="105" spans="1:6" ht="12.75">
      <c r="A105" s="380" t="s">
        <v>307</v>
      </c>
      <c r="B105" s="376">
        <v>3850</v>
      </c>
      <c r="C105" s="376">
        <v>3850</v>
      </c>
      <c r="D105" s="677">
        <v>0</v>
      </c>
      <c r="E105" s="678">
        <v>0</v>
      </c>
      <c r="F105" s="393"/>
    </row>
    <row r="106" spans="1:6" ht="12.75">
      <c r="A106" s="380" t="s">
        <v>308</v>
      </c>
      <c r="B106" s="376">
        <v>4500</v>
      </c>
      <c r="C106" s="376">
        <v>4500</v>
      </c>
      <c r="D106" s="677">
        <v>0</v>
      </c>
      <c r="E106" s="678">
        <v>0</v>
      </c>
      <c r="F106" s="393"/>
    </row>
    <row r="107" spans="1:6" ht="12.75">
      <c r="A107" s="384"/>
      <c r="B107" s="376"/>
      <c r="C107" s="376"/>
      <c r="D107" s="677"/>
      <c r="E107" s="678"/>
      <c r="F107" s="393"/>
    </row>
    <row r="108" spans="1:6" ht="12.75">
      <c r="A108" s="375" t="s">
        <v>309</v>
      </c>
      <c r="B108" s="381">
        <f>SUM(B109:B112)</f>
        <v>11400</v>
      </c>
      <c r="C108" s="381">
        <f>SUM(C109:C112)</f>
        <v>8800</v>
      </c>
      <c r="D108" s="675">
        <v>0</v>
      </c>
      <c r="E108" s="676">
        <v>0</v>
      </c>
      <c r="F108" s="393"/>
    </row>
    <row r="109" spans="1:6" ht="12.75">
      <c r="A109" s="380" t="s">
        <v>310</v>
      </c>
      <c r="B109" s="376">
        <v>2600</v>
      </c>
      <c r="C109" s="376">
        <v>0</v>
      </c>
      <c r="D109" s="677">
        <v>0</v>
      </c>
      <c r="E109" s="678">
        <v>0</v>
      </c>
      <c r="F109" s="393"/>
    </row>
    <row r="110" spans="1:6" ht="12.75">
      <c r="A110" s="380" t="s">
        <v>311</v>
      </c>
      <c r="B110" s="376">
        <v>6350</v>
      </c>
      <c r="C110" s="376">
        <v>6350</v>
      </c>
      <c r="D110" s="677">
        <v>0</v>
      </c>
      <c r="E110" s="678">
        <v>0</v>
      </c>
      <c r="F110" s="393"/>
    </row>
    <row r="111" spans="1:6" ht="12.75">
      <c r="A111" s="380" t="s">
        <v>312</v>
      </c>
      <c r="B111" s="376">
        <v>1500</v>
      </c>
      <c r="C111" s="376">
        <v>1500</v>
      </c>
      <c r="D111" s="677">
        <v>0</v>
      </c>
      <c r="E111" s="678">
        <v>0</v>
      </c>
      <c r="F111" s="393"/>
    </row>
    <row r="112" spans="1:6" ht="12.75">
      <c r="A112" s="380" t="s">
        <v>270</v>
      </c>
      <c r="B112" s="376">
        <v>950</v>
      </c>
      <c r="C112" s="376">
        <v>950</v>
      </c>
      <c r="D112" s="677">
        <v>0</v>
      </c>
      <c r="E112" s="678">
        <v>0</v>
      </c>
      <c r="F112" s="393"/>
    </row>
    <row r="113" spans="1:6" ht="12.75">
      <c r="A113" s="380"/>
      <c r="B113" s="376"/>
      <c r="C113" s="376"/>
      <c r="D113" s="677"/>
      <c r="E113" s="678"/>
      <c r="F113" s="393"/>
    </row>
    <row r="114" spans="1:6" ht="12.75">
      <c r="A114" s="375" t="s">
        <v>267</v>
      </c>
      <c r="B114" s="381">
        <f>SUM(B115:B144)</f>
        <v>283113</v>
      </c>
      <c r="C114" s="381">
        <f>SUM(C115:C144)</f>
        <v>225113</v>
      </c>
      <c r="D114" s="675">
        <v>0</v>
      </c>
      <c r="E114" s="676">
        <v>0</v>
      </c>
      <c r="F114" s="393"/>
    </row>
    <row r="115" spans="1:6" s="696" customFormat="1" ht="12.75">
      <c r="A115" s="380" t="s">
        <v>313</v>
      </c>
      <c r="B115" s="376">
        <v>50000</v>
      </c>
      <c r="C115" s="376">
        <v>50000</v>
      </c>
      <c r="D115" s="677">
        <v>0</v>
      </c>
      <c r="E115" s="678">
        <v>0</v>
      </c>
      <c r="F115" s="393"/>
    </row>
    <row r="116" spans="1:6" ht="12.75">
      <c r="A116" s="380" t="s">
        <v>314</v>
      </c>
      <c r="B116" s="376">
        <v>13000</v>
      </c>
      <c r="C116" s="376">
        <v>13000</v>
      </c>
      <c r="D116" s="677">
        <v>0</v>
      </c>
      <c r="E116" s="678">
        <v>0</v>
      </c>
      <c r="F116" s="393"/>
    </row>
    <row r="117" spans="1:6" ht="12.75">
      <c r="A117" s="380" t="s">
        <v>315</v>
      </c>
      <c r="B117" s="376">
        <v>2000</v>
      </c>
      <c r="C117" s="376">
        <v>2000</v>
      </c>
      <c r="D117" s="677">
        <v>0</v>
      </c>
      <c r="E117" s="678">
        <v>0</v>
      </c>
      <c r="F117" s="393"/>
    </row>
    <row r="118" spans="1:6" ht="12.75">
      <c r="A118" s="380" t="s">
        <v>316</v>
      </c>
      <c r="B118" s="376">
        <v>3000</v>
      </c>
      <c r="C118" s="376">
        <v>3000</v>
      </c>
      <c r="D118" s="677">
        <v>0</v>
      </c>
      <c r="E118" s="678">
        <v>0</v>
      </c>
      <c r="F118" s="393"/>
    </row>
    <row r="119" spans="1:6" ht="12.75">
      <c r="A119" s="380" t="s">
        <v>317</v>
      </c>
      <c r="B119" s="376">
        <v>5000</v>
      </c>
      <c r="C119" s="376">
        <v>5000</v>
      </c>
      <c r="D119" s="677">
        <v>0</v>
      </c>
      <c r="E119" s="678">
        <v>0</v>
      </c>
      <c r="F119" s="393"/>
    </row>
    <row r="120" spans="1:6" ht="12.75">
      <c r="A120" s="380" t="s">
        <v>318</v>
      </c>
      <c r="B120" s="376">
        <v>800</v>
      </c>
      <c r="C120" s="376">
        <v>800</v>
      </c>
      <c r="D120" s="677">
        <v>0</v>
      </c>
      <c r="E120" s="678">
        <v>0</v>
      </c>
      <c r="F120" s="393"/>
    </row>
    <row r="121" spans="1:6" ht="12.75">
      <c r="A121" s="380" t="s">
        <v>405</v>
      </c>
      <c r="B121" s="376">
        <v>1000</v>
      </c>
      <c r="C121" s="376">
        <v>1000</v>
      </c>
      <c r="D121" s="677">
        <v>0</v>
      </c>
      <c r="E121" s="678">
        <v>0</v>
      </c>
      <c r="F121" s="393"/>
    </row>
    <row r="122" spans="1:6" ht="12.75">
      <c r="A122" s="380" t="s">
        <v>406</v>
      </c>
      <c r="B122" s="376">
        <v>6000</v>
      </c>
      <c r="C122" s="376">
        <v>6000</v>
      </c>
      <c r="D122" s="677">
        <v>0</v>
      </c>
      <c r="E122" s="678">
        <v>0</v>
      </c>
      <c r="F122" s="393"/>
    </row>
    <row r="123" spans="1:6" ht="12.75">
      <c r="A123" s="380" t="s">
        <v>407</v>
      </c>
      <c r="B123" s="376">
        <v>2000</v>
      </c>
      <c r="C123" s="376">
        <v>2000</v>
      </c>
      <c r="D123" s="677">
        <v>0</v>
      </c>
      <c r="E123" s="678">
        <v>0</v>
      </c>
      <c r="F123" s="393"/>
    </row>
    <row r="124" spans="1:6" ht="12.75">
      <c r="A124" s="380" t="s">
        <v>408</v>
      </c>
      <c r="B124" s="376">
        <v>15000</v>
      </c>
      <c r="C124" s="376">
        <v>15000</v>
      </c>
      <c r="D124" s="677">
        <v>0</v>
      </c>
      <c r="E124" s="678">
        <v>0</v>
      </c>
      <c r="F124" s="393"/>
    </row>
    <row r="125" spans="1:6" ht="12.75">
      <c r="A125" s="380" t="s">
        <v>409</v>
      </c>
      <c r="B125" s="376">
        <v>38000</v>
      </c>
      <c r="C125" s="376">
        <v>0</v>
      </c>
      <c r="D125" s="677">
        <v>0</v>
      </c>
      <c r="E125" s="678">
        <v>0</v>
      </c>
      <c r="F125" s="393"/>
    </row>
    <row r="126" spans="1:6" ht="12.75">
      <c r="A126" s="380" t="s">
        <v>410</v>
      </c>
      <c r="B126" s="376">
        <v>1000</v>
      </c>
      <c r="C126" s="376">
        <v>1000</v>
      </c>
      <c r="D126" s="677">
        <v>0</v>
      </c>
      <c r="E126" s="678">
        <v>0</v>
      </c>
      <c r="F126" s="393"/>
    </row>
    <row r="127" spans="1:6" ht="12.75">
      <c r="A127" s="380" t="s">
        <v>411</v>
      </c>
      <c r="B127" s="376">
        <v>3000</v>
      </c>
      <c r="C127" s="376">
        <v>3000</v>
      </c>
      <c r="D127" s="677">
        <v>0</v>
      </c>
      <c r="E127" s="678">
        <v>0</v>
      </c>
      <c r="F127" s="393"/>
    </row>
    <row r="128" spans="1:6" ht="12.75">
      <c r="A128" s="380" t="s">
        <v>412</v>
      </c>
      <c r="B128" s="376">
        <v>15000</v>
      </c>
      <c r="C128" s="376">
        <v>15000</v>
      </c>
      <c r="D128" s="677">
        <v>0</v>
      </c>
      <c r="E128" s="678">
        <v>0</v>
      </c>
      <c r="F128" s="393"/>
    </row>
    <row r="129" spans="1:6" ht="12.75">
      <c r="A129" s="380" t="s">
        <v>413</v>
      </c>
      <c r="B129" s="376">
        <v>1500</v>
      </c>
      <c r="C129" s="376">
        <v>1500</v>
      </c>
      <c r="D129" s="677">
        <v>0</v>
      </c>
      <c r="E129" s="678">
        <v>0</v>
      </c>
      <c r="F129" s="393"/>
    </row>
    <row r="130" spans="1:6" ht="12.75">
      <c r="A130" s="380" t="s">
        <v>414</v>
      </c>
      <c r="B130" s="376">
        <v>4000</v>
      </c>
      <c r="C130" s="376">
        <v>4000</v>
      </c>
      <c r="D130" s="677">
        <v>0</v>
      </c>
      <c r="E130" s="678">
        <v>0</v>
      </c>
      <c r="F130" s="393"/>
    </row>
    <row r="131" spans="1:6" ht="12.75">
      <c r="A131" s="380" t="s">
        <v>415</v>
      </c>
      <c r="B131" s="376">
        <v>40000</v>
      </c>
      <c r="C131" s="376">
        <v>40000</v>
      </c>
      <c r="D131" s="677">
        <v>0</v>
      </c>
      <c r="E131" s="678">
        <v>0</v>
      </c>
      <c r="F131" s="393"/>
    </row>
    <row r="132" spans="1:6" ht="12.75">
      <c r="A132" s="380" t="s">
        <v>416</v>
      </c>
      <c r="B132" s="376">
        <v>30000</v>
      </c>
      <c r="C132" s="376">
        <f>30000-20000</f>
        <v>10000</v>
      </c>
      <c r="D132" s="677">
        <v>0</v>
      </c>
      <c r="E132" s="678">
        <v>0</v>
      </c>
      <c r="F132" s="393"/>
    </row>
    <row r="133" spans="1:6" ht="12.75">
      <c r="A133" s="384" t="s">
        <v>417</v>
      </c>
      <c r="B133" s="376">
        <v>13161</v>
      </c>
      <c r="C133" s="376">
        <v>13161</v>
      </c>
      <c r="D133" s="677">
        <v>0</v>
      </c>
      <c r="E133" s="678">
        <v>0</v>
      </c>
      <c r="F133" s="393"/>
    </row>
    <row r="134" spans="1:6" ht="12.75">
      <c r="A134" s="384" t="s">
        <v>418</v>
      </c>
      <c r="B134" s="376">
        <v>1459</v>
      </c>
      <c r="C134" s="376">
        <v>1459</v>
      </c>
      <c r="D134" s="677">
        <v>0</v>
      </c>
      <c r="E134" s="678">
        <v>0</v>
      </c>
      <c r="F134" s="393"/>
    </row>
    <row r="135" spans="1:6" ht="12.75">
      <c r="A135" s="380" t="s">
        <v>419</v>
      </c>
      <c r="B135" s="376">
        <v>1000</v>
      </c>
      <c r="C135" s="376">
        <v>1000</v>
      </c>
      <c r="D135" s="677">
        <v>0</v>
      </c>
      <c r="E135" s="678">
        <v>0</v>
      </c>
      <c r="F135" s="393"/>
    </row>
    <row r="136" spans="1:6" ht="12.75">
      <c r="A136" s="380" t="s">
        <v>420</v>
      </c>
      <c r="B136" s="376">
        <v>2000</v>
      </c>
      <c r="C136" s="376">
        <v>2000</v>
      </c>
      <c r="D136" s="677">
        <v>0</v>
      </c>
      <c r="E136" s="678">
        <v>0</v>
      </c>
      <c r="F136" s="393"/>
    </row>
    <row r="137" spans="1:6" ht="12.75">
      <c r="A137" s="380" t="s">
        <v>421</v>
      </c>
      <c r="B137" s="376">
        <v>650</v>
      </c>
      <c r="C137" s="376">
        <v>650</v>
      </c>
      <c r="D137" s="677">
        <v>0</v>
      </c>
      <c r="E137" s="678">
        <v>0</v>
      </c>
      <c r="F137" s="393"/>
    </row>
    <row r="138" spans="1:6" ht="12.75">
      <c r="A138" s="380" t="s">
        <v>422</v>
      </c>
      <c r="B138" s="376">
        <v>3000</v>
      </c>
      <c r="C138" s="376">
        <v>3000</v>
      </c>
      <c r="D138" s="677">
        <v>0</v>
      </c>
      <c r="E138" s="678">
        <v>0</v>
      </c>
      <c r="F138" s="393"/>
    </row>
    <row r="139" spans="1:6" ht="12.75">
      <c r="A139" s="380" t="s">
        <v>423</v>
      </c>
      <c r="B139" s="376">
        <v>12700</v>
      </c>
      <c r="C139" s="376">
        <v>12700</v>
      </c>
      <c r="D139" s="677">
        <v>0</v>
      </c>
      <c r="E139" s="678">
        <v>0</v>
      </c>
      <c r="F139" s="393"/>
    </row>
    <row r="140" spans="1:6" ht="12.75">
      <c r="A140" s="380" t="s">
        <v>424</v>
      </c>
      <c r="B140" s="376">
        <v>1016</v>
      </c>
      <c r="C140" s="376">
        <v>1016</v>
      </c>
      <c r="D140" s="677">
        <v>0</v>
      </c>
      <c r="E140" s="678">
        <v>0</v>
      </c>
      <c r="F140" s="393"/>
    </row>
    <row r="141" spans="1:6" ht="13.5" customHeight="1">
      <c r="A141" s="380" t="s">
        <v>425</v>
      </c>
      <c r="B141" s="376">
        <v>6350</v>
      </c>
      <c r="C141" s="376">
        <v>6350</v>
      </c>
      <c r="D141" s="677">
        <v>0</v>
      </c>
      <c r="E141" s="678">
        <v>0</v>
      </c>
      <c r="F141" s="393"/>
    </row>
    <row r="142" spans="1:6" ht="13.5" customHeight="1">
      <c r="A142" s="380" t="s">
        <v>426</v>
      </c>
      <c r="B142" s="376">
        <v>5000</v>
      </c>
      <c r="C142" s="376">
        <v>5000</v>
      </c>
      <c r="D142" s="677">
        <v>0</v>
      </c>
      <c r="E142" s="678">
        <v>0</v>
      </c>
      <c r="F142" s="393"/>
    </row>
    <row r="143" spans="1:6" ht="13.5" customHeight="1">
      <c r="A143" s="380" t="s">
        <v>427</v>
      </c>
      <c r="B143" s="376">
        <v>1905</v>
      </c>
      <c r="C143" s="376">
        <v>1905</v>
      </c>
      <c r="D143" s="677">
        <v>0</v>
      </c>
      <c r="E143" s="678">
        <v>0</v>
      </c>
      <c r="F143" s="393"/>
    </row>
    <row r="144" spans="1:6" s="696" customFormat="1" ht="12.75">
      <c r="A144" s="384" t="s">
        <v>428</v>
      </c>
      <c r="B144" s="376">
        <v>4572</v>
      </c>
      <c r="C144" s="376">
        <v>4572</v>
      </c>
      <c r="D144" s="677">
        <v>0</v>
      </c>
      <c r="E144" s="678">
        <v>0</v>
      </c>
      <c r="F144" s="393"/>
    </row>
    <row r="145" spans="1:6" s="696" customFormat="1" ht="12.75">
      <c r="A145" s="384"/>
      <c r="B145" s="376"/>
      <c r="C145" s="376"/>
      <c r="D145" s="677"/>
      <c r="E145" s="678"/>
      <c r="F145" s="393"/>
    </row>
    <row r="146" spans="1:6" s="383" customFormat="1" ht="12.75">
      <c r="A146" s="375" t="s">
        <v>17</v>
      </c>
      <c r="B146" s="381">
        <v>0</v>
      </c>
      <c r="C146" s="381">
        <v>0</v>
      </c>
      <c r="D146" s="675">
        <v>0</v>
      </c>
      <c r="E146" s="676">
        <v>0</v>
      </c>
      <c r="F146" s="393"/>
    </row>
    <row r="147" spans="1:6" s="696" customFormat="1" ht="12.75">
      <c r="A147" s="380"/>
      <c r="B147" s="376"/>
      <c r="C147" s="376"/>
      <c r="D147" s="677"/>
      <c r="E147" s="678"/>
      <c r="F147" s="393"/>
    </row>
    <row r="148" spans="1:6" s="383" customFormat="1" ht="12.75">
      <c r="A148" s="375" t="s">
        <v>741</v>
      </c>
      <c r="B148" s="381">
        <v>0</v>
      </c>
      <c r="C148" s="381">
        <v>0</v>
      </c>
      <c r="D148" s="675">
        <v>0</v>
      </c>
      <c r="E148" s="676">
        <v>0</v>
      </c>
      <c r="F148" s="393"/>
    </row>
    <row r="149" spans="1:6" s="696" customFormat="1" ht="12.75">
      <c r="A149" s="380"/>
      <c r="B149" s="376"/>
      <c r="C149" s="376"/>
      <c r="D149" s="677"/>
      <c r="E149" s="678"/>
      <c r="F149" s="393"/>
    </row>
    <row r="150" spans="1:8" s="686" customFormat="1" ht="13.5" thickBot="1">
      <c r="A150" s="386" t="s">
        <v>297</v>
      </c>
      <c r="B150" s="387">
        <f>SUM(B83,B146,B148)</f>
        <v>2586721</v>
      </c>
      <c r="C150" s="387">
        <f>SUM(C83,C146,C148)</f>
        <v>2249944</v>
      </c>
      <c r="D150" s="684">
        <v>0</v>
      </c>
      <c r="E150" s="685">
        <v>0</v>
      </c>
      <c r="F150" s="393"/>
      <c r="H150" s="697"/>
    </row>
    <row r="151" spans="2:6" s="696" customFormat="1" ht="12.75">
      <c r="B151" s="364"/>
      <c r="C151" s="364"/>
      <c r="D151" s="669"/>
      <c r="E151" s="669"/>
      <c r="F151" s="393"/>
    </row>
    <row r="152" spans="2:6" s="696" customFormat="1" ht="12.75">
      <c r="B152" s="364"/>
      <c r="C152" s="364"/>
      <c r="D152" s="669"/>
      <c r="E152" s="669"/>
      <c r="F152" s="393"/>
    </row>
    <row r="153" spans="2:6" s="696" customFormat="1" ht="12.75">
      <c r="B153" s="364"/>
      <c r="C153" s="364"/>
      <c r="D153" s="669"/>
      <c r="E153" s="669"/>
      <c r="F153" s="393"/>
    </row>
    <row r="154" spans="2:6" s="696" customFormat="1" ht="12.75">
      <c r="B154" s="364"/>
      <c r="C154" s="364"/>
      <c r="D154" s="669"/>
      <c r="E154" s="669"/>
      <c r="F154" s="393"/>
    </row>
    <row r="155" spans="2:6" s="696" customFormat="1" ht="12.75">
      <c r="B155" s="364"/>
      <c r="C155" s="364"/>
      <c r="D155" s="669"/>
      <c r="E155" s="669"/>
      <c r="F155" s="393"/>
    </row>
    <row r="156" spans="2:6" s="696" customFormat="1" ht="12.75">
      <c r="B156" s="364"/>
      <c r="C156" s="364"/>
      <c r="D156" s="669"/>
      <c r="E156" s="669"/>
      <c r="F156" s="393"/>
    </row>
    <row r="157" spans="2:6" s="696" customFormat="1" ht="12.75">
      <c r="B157" s="364"/>
      <c r="C157" s="364"/>
      <c r="D157" s="669"/>
      <c r="E157" s="669"/>
      <c r="F157" s="393"/>
    </row>
    <row r="158" spans="2:6" s="696" customFormat="1" ht="12.75">
      <c r="B158" s="364"/>
      <c r="C158" s="364"/>
      <c r="D158" s="669"/>
      <c r="E158" s="669"/>
      <c r="F158" s="393"/>
    </row>
    <row r="159" spans="2:6" s="696" customFormat="1" ht="12.75">
      <c r="B159" s="364"/>
      <c r="C159" s="364"/>
      <c r="D159" s="669"/>
      <c r="E159" s="669"/>
      <c r="F159" s="393"/>
    </row>
    <row r="160" spans="2:6" s="696" customFormat="1" ht="12.75">
      <c r="B160" s="364"/>
      <c r="C160" s="364"/>
      <c r="D160" s="669"/>
      <c r="E160" s="669"/>
      <c r="F160" s="393"/>
    </row>
    <row r="161" spans="2:6" s="696" customFormat="1" ht="12.75">
      <c r="B161" s="364"/>
      <c r="C161" s="364"/>
      <c r="D161" s="669"/>
      <c r="E161" s="669"/>
      <c r="F161" s="393"/>
    </row>
    <row r="162" spans="2:6" s="696" customFormat="1" ht="12.75">
      <c r="B162" s="364"/>
      <c r="C162" s="364"/>
      <c r="D162" s="669"/>
      <c r="E162" s="669"/>
      <c r="F162" s="393"/>
    </row>
    <row r="163" spans="2:6" s="696" customFormat="1" ht="12.75">
      <c r="B163" s="364"/>
      <c r="C163" s="364"/>
      <c r="D163" s="669"/>
      <c r="E163" s="669"/>
      <c r="F163" s="393"/>
    </row>
    <row r="164" spans="2:6" s="696" customFormat="1" ht="12.75">
      <c r="B164" s="364"/>
      <c r="C164" s="364"/>
      <c r="D164" s="669"/>
      <c r="E164" s="669"/>
      <c r="F164" s="393"/>
    </row>
    <row r="165" spans="2:6" s="696" customFormat="1" ht="12.75">
      <c r="B165" s="364"/>
      <c r="C165" s="364"/>
      <c r="D165" s="669"/>
      <c r="E165" s="669"/>
      <c r="F165" s="393"/>
    </row>
    <row r="166" spans="2:6" s="696" customFormat="1" ht="12.75">
      <c r="B166" s="364"/>
      <c r="C166" s="364"/>
      <c r="D166" s="669"/>
      <c r="E166" s="669"/>
      <c r="F166" s="393"/>
    </row>
    <row r="167" spans="2:6" s="696" customFormat="1" ht="12.75">
      <c r="B167" s="364"/>
      <c r="C167" s="364"/>
      <c r="D167" s="669"/>
      <c r="E167" s="669"/>
      <c r="F167" s="393"/>
    </row>
    <row r="168" spans="2:6" s="696" customFormat="1" ht="12.75">
      <c r="B168" s="364"/>
      <c r="C168" s="364"/>
      <c r="D168" s="669"/>
      <c r="E168" s="669"/>
      <c r="F168" s="393"/>
    </row>
    <row r="169" spans="2:6" s="696" customFormat="1" ht="12.75">
      <c r="B169" s="364"/>
      <c r="C169" s="364"/>
      <c r="D169" s="669"/>
      <c r="E169" s="669"/>
      <c r="F169" s="393"/>
    </row>
    <row r="170" spans="2:6" s="696" customFormat="1" ht="12.75">
      <c r="B170" s="364"/>
      <c r="C170" s="364"/>
      <c r="D170" s="669"/>
      <c r="E170" s="669"/>
      <c r="F170" s="393"/>
    </row>
    <row r="171" spans="2:6" s="696" customFormat="1" ht="12.75">
      <c r="B171" s="364"/>
      <c r="C171" s="364"/>
      <c r="D171" s="669"/>
      <c r="E171" s="669"/>
      <c r="F171" s="393"/>
    </row>
    <row r="172" spans="2:6" s="696" customFormat="1" ht="12.75">
      <c r="B172" s="364"/>
      <c r="C172" s="364"/>
      <c r="D172" s="669"/>
      <c r="E172" s="669"/>
      <c r="F172" s="393"/>
    </row>
    <row r="173" spans="2:6" s="696" customFormat="1" ht="12.75">
      <c r="B173" s="364"/>
      <c r="C173" s="364"/>
      <c r="D173" s="669"/>
      <c r="E173" s="669"/>
      <c r="F173" s="393"/>
    </row>
    <row r="174" spans="2:6" s="696" customFormat="1" ht="12.75">
      <c r="B174" s="364"/>
      <c r="C174" s="364"/>
      <c r="D174" s="669"/>
      <c r="E174" s="669"/>
      <c r="F174" s="393"/>
    </row>
    <row r="175" spans="2:6" s="696" customFormat="1" ht="12.75">
      <c r="B175" s="364"/>
      <c r="C175" s="364"/>
      <c r="D175" s="669"/>
      <c r="E175" s="669"/>
      <c r="F175" s="393"/>
    </row>
    <row r="176" spans="2:6" s="696" customFormat="1" ht="12.75">
      <c r="B176" s="364"/>
      <c r="C176" s="364"/>
      <c r="D176" s="669"/>
      <c r="E176" s="669"/>
      <c r="F176" s="393"/>
    </row>
    <row r="177" spans="2:6" s="696" customFormat="1" ht="12.75">
      <c r="B177" s="364"/>
      <c r="C177" s="364"/>
      <c r="D177" s="669"/>
      <c r="E177" s="669"/>
      <c r="F177" s="393"/>
    </row>
    <row r="178" spans="2:5" s="696" customFormat="1" ht="12.75">
      <c r="B178" s="364"/>
      <c r="C178" s="364"/>
      <c r="D178" s="669"/>
      <c r="E178" s="669"/>
    </row>
    <row r="179" spans="2:5" s="696" customFormat="1" ht="12.75">
      <c r="B179" s="364"/>
      <c r="C179" s="364"/>
      <c r="D179" s="669"/>
      <c r="E179" s="669"/>
    </row>
    <row r="180" spans="2:5" s="696" customFormat="1" ht="12.75">
      <c r="B180" s="364"/>
      <c r="C180" s="364"/>
      <c r="D180" s="669"/>
      <c r="E180" s="669"/>
    </row>
    <row r="181" spans="2:5" s="696" customFormat="1" ht="12.75">
      <c r="B181" s="364"/>
      <c r="C181" s="364"/>
      <c r="D181" s="669"/>
      <c r="E181" s="669"/>
    </row>
    <row r="182" spans="2:5" s="696" customFormat="1" ht="12.75">
      <c r="B182" s="364"/>
      <c r="C182" s="364"/>
      <c r="D182" s="669"/>
      <c r="E182" s="669"/>
    </row>
    <row r="183" spans="2:5" s="696" customFormat="1" ht="12.75">
      <c r="B183" s="364"/>
      <c r="C183" s="364"/>
      <c r="D183" s="669"/>
      <c r="E183" s="669"/>
    </row>
    <row r="184" spans="2:5" s="696" customFormat="1" ht="12.75">
      <c r="B184" s="364"/>
      <c r="C184" s="364"/>
      <c r="D184" s="669"/>
      <c r="E184" s="669"/>
    </row>
    <row r="185" spans="2:5" s="696" customFormat="1" ht="12.75">
      <c r="B185" s="364"/>
      <c r="C185" s="364"/>
      <c r="D185" s="669"/>
      <c r="E185" s="669"/>
    </row>
    <row r="186" spans="2:5" s="696" customFormat="1" ht="12.75">
      <c r="B186" s="364"/>
      <c r="C186" s="364"/>
      <c r="D186" s="669"/>
      <c r="E186" s="669"/>
    </row>
    <row r="187" spans="2:5" s="696" customFormat="1" ht="12.75">
      <c r="B187" s="364"/>
      <c r="C187" s="364"/>
      <c r="D187" s="669"/>
      <c r="E187" s="669"/>
    </row>
    <row r="188" spans="2:5" s="696" customFormat="1" ht="12.75">
      <c r="B188" s="364"/>
      <c r="C188" s="364"/>
      <c r="D188" s="669"/>
      <c r="E188" s="669"/>
    </row>
    <row r="189" spans="2:5" s="696" customFormat="1" ht="12.75">
      <c r="B189" s="364"/>
      <c r="C189" s="364"/>
      <c r="D189" s="669"/>
      <c r="E189" s="669"/>
    </row>
    <row r="190" spans="2:5" s="696" customFormat="1" ht="12.75">
      <c r="B190" s="364"/>
      <c r="C190" s="364"/>
      <c r="D190" s="669"/>
      <c r="E190" s="669"/>
    </row>
    <row r="191" spans="2:5" s="696" customFormat="1" ht="12.75">
      <c r="B191" s="364"/>
      <c r="C191" s="364"/>
      <c r="D191" s="669"/>
      <c r="E191" s="669"/>
    </row>
    <row r="192" spans="2:5" s="696" customFormat="1" ht="12.75">
      <c r="B192" s="364"/>
      <c r="C192" s="364"/>
      <c r="D192" s="669"/>
      <c r="E192" s="669"/>
    </row>
    <row r="193" spans="2:5" s="696" customFormat="1" ht="12.75">
      <c r="B193" s="364"/>
      <c r="C193" s="364"/>
      <c r="D193" s="669"/>
      <c r="E193" s="669"/>
    </row>
    <row r="194" spans="2:5" s="696" customFormat="1" ht="12.75">
      <c r="B194" s="364"/>
      <c r="C194" s="364"/>
      <c r="D194" s="669"/>
      <c r="E194" s="669"/>
    </row>
    <row r="195" spans="2:5" s="696" customFormat="1" ht="12.75">
      <c r="B195" s="364"/>
      <c r="C195" s="364"/>
      <c r="D195" s="669"/>
      <c r="E195" s="669"/>
    </row>
    <row r="196" spans="2:5" s="696" customFormat="1" ht="12.75">
      <c r="B196" s="364"/>
      <c r="C196" s="364"/>
      <c r="D196" s="669"/>
      <c r="E196" s="669"/>
    </row>
    <row r="197" spans="2:5" s="696" customFormat="1" ht="12.75">
      <c r="B197" s="364"/>
      <c r="C197" s="364"/>
      <c r="D197" s="669"/>
      <c r="E197" s="669"/>
    </row>
    <row r="198" spans="2:5" s="696" customFormat="1" ht="12.75">
      <c r="B198" s="364"/>
      <c r="C198" s="364"/>
      <c r="D198" s="669"/>
      <c r="E198" s="669"/>
    </row>
    <row r="199" spans="2:5" s="696" customFormat="1" ht="12.75">
      <c r="B199" s="364"/>
      <c r="C199" s="364"/>
      <c r="D199" s="669"/>
      <c r="E199" s="669"/>
    </row>
    <row r="200" spans="2:5" s="696" customFormat="1" ht="12.75">
      <c r="B200" s="364"/>
      <c r="C200" s="364"/>
      <c r="D200" s="669"/>
      <c r="E200" s="669"/>
    </row>
    <row r="201" spans="2:5" s="696" customFormat="1" ht="12.75">
      <c r="B201" s="364"/>
      <c r="C201" s="364"/>
      <c r="D201" s="669"/>
      <c r="E201" s="669"/>
    </row>
    <row r="202" spans="2:5" s="696" customFormat="1" ht="12.75">
      <c r="B202" s="364"/>
      <c r="C202" s="364"/>
      <c r="D202" s="669"/>
      <c r="E202" s="669"/>
    </row>
    <row r="203" spans="2:5" s="696" customFormat="1" ht="12.75">
      <c r="B203" s="364"/>
      <c r="C203" s="364"/>
      <c r="D203" s="669"/>
      <c r="E203" s="669"/>
    </row>
    <row r="204" spans="2:5" s="696" customFormat="1" ht="12.75">
      <c r="B204" s="364"/>
      <c r="C204" s="364"/>
      <c r="D204" s="669"/>
      <c r="E204" s="669"/>
    </row>
    <row r="205" spans="2:5" s="696" customFormat="1" ht="12.75">
      <c r="B205" s="364"/>
      <c r="C205" s="364"/>
      <c r="D205" s="669"/>
      <c r="E205" s="669"/>
    </row>
    <row r="206" spans="2:5" s="696" customFormat="1" ht="12.75">
      <c r="B206" s="364"/>
      <c r="C206" s="364"/>
      <c r="D206" s="669"/>
      <c r="E206" s="669"/>
    </row>
    <row r="207" spans="2:5" s="696" customFormat="1" ht="12.75">
      <c r="B207" s="364"/>
      <c r="C207" s="364"/>
      <c r="D207" s="669"/>
      <c r="E207" s="669"/>
    </row>
    <row r="208" spans="2:5" s="696" customFormat="1" ht="12.75">
      <c r="B208" s="364"/>
      <c r="C208" s="364"/>
      <c r="D208" s="669"/>
      <c r="E208" s="669"/>
    </row>
    <row r="209" spans="2:5" s="696" customFormat="1" ht="12.75">
      <c r="B209" s="364"/>
      <c r="C209" s="364"/>
      <c r="D209" s="669"/>
      <c r="E209" s="669"/>
    </row>
    <row r="210" spans="2:5" s="696" customFormat="1" ht="12.75">
      <c r="B210" s="364"/>
      <c r="C210" s="364"/>
      <c r="D210" s="669"/>
      <c r="E210" s="669"/>
    </row>
    <row r="211" spans="2:5" s="696" customFormat="1" ht="12.75">
      <c r="B211" s="364"/>
      <c r="C211" s="364"/>
      <c r="D211" s="669"/>
      <c r="E211" s="669"/>
    </row>
    <row r="212" spans="2:5" s="696" customFormat="1" ht="12.75">
      <c r="B212" s="364"/>
      <c r="C212" s="364"/>
      <c r="D212" s="669"/>
      <c r="E212" s="669"/>
    </row>
    <row r="213" spans="2:5" s="696" customFormat="1" ht="12.75">
      <c r="B213" s="364"/>
      <c r="C213" s="364"/>
      <c r="D213" s="669"/>
      <c r="E213" s="669"/>
    </row>
    <row r="214" spans="2:5" s="696" customFormat="1" ht="12.75">
      <c r="B214" s="364"/>
      <c r="C214" s="364"/>
      <c r="D214" s="669"/>
      <c r="E214" s="669"/>
    </row>
    <row r="215" spans="2:5" s="696" customFormat="1" ht="12.75">
      <c r="B215" s="364"/>
      <c r="C215" s="364"/>
      <c r="D215" s="669"/>
      <c r="E215" s="669"/>
    </row>
    <row r="216" spans="2:5" s="696" customFormat="1" ht="12.75">
      <c r="B216" s="364"/>
      <c r="C216" s="364"/>
      <c r="D216" s="669"/>
      <c r="E216" s="669"/>
    </row>
    <row r="217" spans="2:5" s="696" customFormat="1" ht="12.75">
      <c r="B217" s="364"/>
      <c r="C217" s="364"/>
      <c r="D217" s="669"/>
      <c r="E217" s="669"/>
    </row>
    <row r="218" spans="2:5" s="696" customFormat="1" ht="12.75">
      <c r="B218" s="364"/>
      <c r="C218" s="364"/>
      <c r="D218" s="669"/>
      <c r="E218" s="669"/>
    </row>
    <row r="219" spans="2:5" s="696" customFormat="1" ht="12.75">
      <c r="B219" s="364"/>
      <c r="C219" s="364"/>
      <c r="D219" s="669"/>
      <c r="E219" s="669"/>
    </row>
    <row r="220" spans="2:5" s="696" customFormat="1" ht="12.75">
      <c r="B220" s="364"/>
      <c r="C220" s="364"/>
      <c r="D220" s="669"/>
      <c r="E220" s="669"/>
    </row>
    <row r="221" spans="2:5" s="696" customFormat="1" ht="12.75">
      <c r="B221" s="364"/>
      <c r="C221" s="364"/>
      <c r="D221" s="669"/>
      <c r="E221" s="669"/>
    </row>
    <row r="222" spans="2:5" s="696" customFormat="1" ht="12.75">
      <c r="B222" s="364"/>
      <c r="C222" s="364"/>
      <c r="D222" s="669"/>
      <c r="E222" s="669"/>
    </row>
    <row r="223" spans="2:5" s="696" customFormat="1" ht="12.75">
      <c r="B223" s="364"/>
      <c r="C223" s="364"/>
      <c r="D223" s="669"/>
      <c r="E223" s="669"/>
    </row>
    <row r="224" spans="2:5" s="696" customFormat="1" ht="12.75">
      <c r="B224" s="364"/>
      <c r="C224" s="364"/>
      <c r="D224" s="669"/>
      <c r="E224" s="669"/>
    </row>
    <row r="225" spans="2:5" s="696" customFormat="1" ht="12.75">
      <c r="B225" s="364"/>
      <c r="C225" s="364"/>
      <c r="D225" s="669"/>
      <c r="E225" s="669"/>
    </row>
    <row r="226" spans="2:5" s="696" customFormat="1" ht="12.75">
      <c r="B226" s="364"/>
      <c r="C226" s="364"/>
      <c r="D226" s="669"/>
      <c r="E226" s="669"/>
    </row>
    <row r="227" spans="2:5" s="696" customFormat="1" ht="12.75">
      <c r="B227" s="364"/>
      <c r="C227" s="364"/>
      <c r="D227" s="669"/>
      <c r="E227" s="669"/>
    </row>
    <row r="228" spans="2:5" s="696" customFormat="1" ht="12.75">
      <c r="B228" s="364"/>
      <c r="C228" s="364"/>
      <c r="D228" s="669"/>
      <c r="E228" s="669"/>
    </row>
    <row r="229" spans="2:5" s="696" customFormat="1" ht="12.75">
      <c r="B229" s="364"/>
      <c r="C229" s="364"/>
      <c r="D229" s="669"/>
      <c r="E229" s="669"/>
    </row>
    <row r="230" spans="2:5" s="696" customFormat="1" ht="12.75">
      <c r="B230" s="364"/>
      <c r="C230" s="364"/>
      <c r="D230" s="669"/>
      <c r="E230" s="669"/>
    </row>
    <row r="231" spans="2:5" s="696" customFormat="1" ht="12.75">
      <c r="B231" s="364"/>
      <c r="C231" s="364"/>
      <c r="D231" s="669"/>
      <c r="E231" s="669"/>
    </row>
    <row r="232" spans="2:5" s="696" customFormat="1" ht="12.75">
      <c r="B232" s="364"/>
      <c r="C232" s="364"/>
      <c r="D232" s="669"/>
      <c r="E232" s="669"/>
    </row>
    <row r="233" spans="2:5" s="696" customFormat="1" ht="12.75">
      <c r="B233" s="364"/>
      <c r="C233" s="364"/>
      <c r="D233" s="669"/>
      <c r="E233" s="669"/>
    </row>
    <row r="234" spans="2:5" s="696" customFormat="1" ht="12.75">
      <c r="B234" s="364"/>
      <c r="C234" s="364"/>
      <c r="D234" s="669"/>
      <c r="E234" s="669"/>
    </row>
    <row r="235" spans="2:5" s="696" customFormat="1" ht="12.75">
      <c r="B235" s="364"/>
      <c r="C235" s="364"/>
      <c r="D235" s="669"/>
      <c r="E235" s="669"/>
    </row>
    <row r="236" spans="2:5" s="696" customFormat="1" ht="12.75">
      <c r="B236" s="364"/>
      <c r="C236" s="364"/>
      <c r="D236" s="669"/>
      <c r="E236" s="669"/>
    </row>
    <row r="237" spans="2:5" s="696" customFormat="1" ht="12.75">
      <c r="B237" s="364"/>
      <c r="C237" s="364"/>
      <c r="D237" s="669"/>
      <c r="E237" s="669"/>
    </row>
    <row r="238" spans="2:5" s="696" customFormat="1" ht="12.75">
      <c r="B238" s="364"/>
      <c r="C238" s="364"/>
      <c r="D238" s="669"/>
      <c r="E238" s="669"/>
    </row>
    <row r="239" spans="2:5" s="696" customFormat="1" ht="12.75">
      <c r="B239" s="364"/>
      <c r="C239" s="364"/>
      <c r="D239" s="669"/>
      <c r="E239" s="669"/>
    </row>
    <row r="240" spans="2:5" s="696" customFormat="1" ht="12.75">
      <c r="B240" s="364"/>
      <c r="C240" s="364"/>
      <c r="D240" s="669"/>
      <c r="E240" s="669"/>
    </row>
    <row r="241" spans="2:5" s="696" customFormat="1" ht="12.75">
      <c r="B241" s="364"/>
      <c r="C241" s="364"/>
      <c r="D241" s="669"/>
      <c r="E241" s="669"/>
    </row>
    <row r="242" spans="2:5" s="696" customFormat="1" ht="12.75">
      <c r="B242" s="364"/>
      <c r="C242" s="364"/>
      <c r="D242" s="669"/>
      <c r="E242" s="669"/>
    </row>
    <row r="243" spans="2:5" s="696" customFormat="1" ht="12.75">
      <c r="B243" s="364"/>
      <c r="C243" s="364"/>
      <c r="D243" s="669"/>
      <c r="E243" s="669"/>
    </row>
    <row r="244" spans="2:5" s="696" customFormat="1" ht="12.75">
      <c r="B244" s="364"/>
      <c r="C244" s="364"/>
      <c r="D244" s="669"/>
      <c r="E244" s="669"/>
    </row>
    <row r="245" spans="2:5" s="696" customFormat="1" ht="12.75">
      <c r="B245" s="364"/>
      <c r="C245" s="364"/>
      <c r="D245" s="669"/>
      <c r="E245" s="669"/>
    </row>
    <row r="246" spans="2:5" s="696" customFormat="1" ht="12.75">
      <c r="B246" s="364"/>
      <c r="C246" s="364"/>
      <c r="D246" s="669"/>
      <c r="E246" s="669"/>
    </row>
    <row r="247" spans="2:5" s="696" customFormat="1" ht="12.75">
      <c r="B247" s="364"/>
      <c r="C247" s="364"/>
      <c r="D247" s="669"/>
      <c r="E247" s="669"/>
    </row>
    <row r="248" spans="2:5" s="696" customFormat="1" ht="12.75">
      <c r="B248" s="364"/>
      <c r="C248" s="364"/>
      <c r="D248" s="669"/>
      <c r="E248" s="669"/>
    </row>
    <row r="249" spans="2:5" s="696" customFormat="1" ht="12.75">
      <c r="B249" s="364"/>
      <c r="C249" s="364"/>
      <c r="D249" s="669"/>
      <c r="E249" s="669"/>
    </row>
    <row r="250" spans="2:5" s="696" customFormat="1" ht="12.75">
      <c r="B250" s="364"/>
      <c r="C250" s="364"/>
      <c r="D250" s="669"/>
      <c r="E250" s="669"/>
    </row>
    <row r="251" spans="2:5" s="696" customFormat="1" ht="12.75">
      <c r="B251" s="364"/>
      <c r="C251" s="364"/>
      <c r="D251" s="669"/>
      <c r="E251" s="669"/>
    </row>
    <row r="252" spans="2:5" s="696" customFormat="1" ht="12.75">
      <c r="B252" s="364"/>
      <c r="C252" s="364"/>
      <c r="D252" s="669"/>
      <c r="E252" s="669"/>
    </row>
    <row r="253" spans="2:5" s="696" customFormat="1" ht="12.75">
      <c r="B253" s="364"/>
      <c r="C253" s="364"/>
      <c r="D253" s="669"/>
      <c r="E253" s="669"/>
    </row>
    <row r="254" spans="2:5" s="696" customFormat="1" ht="12.75">
      <c r="B254" s="364"/>
      <c r="C254" s="364"/>
      <c r="D254" s="669"/>
      <c r="E254" s="669"/>
    </row>
    <row r="255" spans="2:5" s="696" customFormat="1" ht="12.75">
      <c r="B255" s="364"/>
      <c r="C255" s="364"/>
      <c r="D255" s="669"/>
      <c r="E255" s="669"/>
    </row>
    <row r="256" spans="2:5" s="696" customFormat="1" ht="12.75">
      <c r="B256" s="364"/>
      <c r="C256" s="364"/>
      <c r="D256" s="669"/>
      <c r="E256" s="669"/>
    </row>
    <row r="257" spans="2:5" s="696" customFormat="1" ht="12.75">
      <c r="B257" s="364"/>
      <c r="C257" s="364"/>
      <c r="D257" s="669"/>
      <c r="E257" s="669"/>
    </row>
    <row r="258" spans="2:5" s="696" customFormat="1" ht="12.75">
      <c r="B258" s="364"/>
      <c r="C258" s="364"/>
      <c r="D258" s="669"/>
      <c r="E258" s="669"/>
    </row>
    <row r="259" spans="2:5" s="696" customFormat="1" ht="12.75">
      <c r="B259" s="364"/>
      <c r="C259" s="364"/>
      <c r="D259" s="669"/>
      <c r="E259" s="669"/>
    </row>
    <row r="260" spans="2:5" s="696" customFormat="1" ht="12.75">
      <c r="B260" s="364"/>
      <c r="C260" s="364"/>
      <c r="D260" s="669"/>
      <c r="E260" s="669"/>
    </row>
    <row r="261" spans="2:5" s="696" customFormat="1" ht="12.75">
      <c r="B261" s="364"/>
      <c r="C261" s="364"/>
      <c r="D261" s="669"/>
      <c r="E261" s="669"/>
    </row>
    <row r="262" spans="2:5" s="696" customFormat="1" ht="12.75">
      <c r="B262" s="364"/>
      <c r="C262" s="364"/>
      <c r="D262" s="669"/>
      <c r="E262" s="669"/>
    </row>
    <row r="263" spans="2:5" s="696" customFormat="1" ht="12.75">
      <c r="B263" s="364"/>
      <c r="C263" s="364"/>
      <c r="D263" s="669"/>
      <c r="E263" s="669"/>
    </row>
    <row r="264" spans="2:5" s="696" customFormat="1" ht="12.75">
      <c r="B264" s="364"/>
      <c r="C264" s="364"/>
      <c r="D264" s="669"/>
      <c r="E264" s="669"/>
    </row>
    <row r="265" spans="2:5" s="696" customFormat="1" ht="12.75">
      <c r="B265" s="364"/>
      <c r="C265" s="364"/>
      <c r="D265" s="669"/>
      <c r="E265" s="669"/>
    </row>
    <row r="266" spans="2:5" s="696" customFormat="1" ht="12.75">
      <c r="B266" s="364"/>
      <c r="C266" s="364"/>
      <c r="D266" s="669"/>
      <c r="E266" s="669"/>
    </row>
    <row r="267" spans="2:5" s="696" customFormat="1" ht="12.75">
      <c r="B267" s="364"/>
      <c r="C267" s="364"/>
      <c r="D267" s="669"/>
      <c r="E267" s="669"/>
    </row>
    <row r="268" spans="2:5" s="696" customFormat="1" ht="12.75">
      <c r="B268" s="364"/>
      <c r="C268" s="364"/>
      <c r="D268" s="669"/>
      <c r="E268" s="669"/>
    </row>
    <row r="269" spans="2:5" s="696" customFormat="1" ht="12.75">
      <c r="B269" s="364"/>
      <c r="C269" s="364"/>
      <c r="D269" s="669"/>
      <c r="E269" s="669"/>
    </row>
    <row r="270" spans="2:5" s="696" customFormat="1" ht="12.75">
      <c r="B270" s="364"/>
      <c r="C270" s="364"/>
      <c r="D270" s="669"/>
      <c r="E270" s="669"/>
    </row>
    <row r="271" spans="2:5" s="696" customFormat="1" ht="12.75">
      <c r="B271" s="364"/>
      <c r="C271" s="364"/>
      <c r="D271" s="669"/>
      <c r="E271" s="669"/>
    </row>
    <row r="272" spans="2:5" s="696" customFormat="1" ht="12.75">
      <c r="B272" s="364"/>
      <c r="C272" s="364"/>
      <c r="D272" s="669"/>
      <c r="E272" s="669"/>
    </row>
    <row r="273" spans="2:5" s="696" customFormat="1" ht="12.75">
      <c r="B273" s="364"/>
      <c r="C273" s="364"/>
      <c r="D273" s="669"/>
      <c r="E273" s="669"/>
    </row>
    <row r="274" spans="2:5" s="696" customFormat="1" ht="12.75">
      <c r="B274" s="364"/>
      <c r="C274" s="364"/>
      <c r="D274" s="669"/>
      <c r="E274" s="669"/>
    </row>
    <row r="275" spans="2:5" s="696" customFormat="1" ht="12.75">
      <c r="B275" s="364"/>
      <c r="C275" s="364"/>
      <c r="D275" s="669"/>
      <c r="E275" s="669"/>
    </row>
    <row r="276" spans="2:5" s="696" customFormat="1" ht="12.75">
      <c r="B276" s="364"/>
      <c r="C276" s="364"/>
      <c r="D276" s="669"/>
      <c r="E276" s="669"/>
    </row>
    <row r="277" spans="2:5" s="696" customFormat="1" ht="12.75">
      <c r="B277" s="364"/>
      <c r="C277" s="364"/>
      <c r="D277" s="669"/>
      <c r="E277" s="669"/>
    </row>
    <row r="278" spans="2:5" s="696" customFormat="1" ht="12.75">
      <c r="B278" s="364"/>
      <c r="C278" s="364"/>
      <c r="D278" s="669"/>
      <c r="E278" s="669"/>
    </row>
    <row r="279" spans="2:5" s="696" customFormat="1" ht="12.75">
      <c r="B279" s="364"/>
      <c r="C279" s="364"/>
      <c r="D279" s="669"/>
      <c r="E279" s="669"/>
    </row>
    <row r="280" spans="2:5" s="696" customFormat="1" ht="12.75">
      <c r="B280" s="364"/>
      <c r="C280" s="364"/>
      <c r="D280" s="669"/>
      <c r="E280" s="669"/>
    </row>
    <row r="281" spans="2:5" s="696" customFormat="1" ht="12.75">
      <c r="B281" s="364"/>
      <c r="C281" s="364"/>
      <c r="D281" s="669"/>
      <c r="E281" s="669"/>
    </row>
  </sheetData>
  <mergeCells count="4">
    <mergeCell ref="A78:E78"/>
    <mergeCell ref="A2:E2"/>
    <mergeCell ref="A3:E3"/>
    <mergeCell ref="A79:E79"/>
  </mergeCells>
  <printOptions horizontalCentered="1"/>
  <pageMargins left="0.11811023622047245" right="0.07874015748031496" top="0.91" bottom="0" header="0.6" footer="0"/>
  <pageSetup horizontalDpi="600" verticalDpi="600" orientation="portrait" paperSize="9" scale="65" r:id="rId1"/>
  <headerFooter alignWithMargins="0">
    <oddHeader>&amp;L 7. melléklet a 14/2013.(V.2.) önkormányzati rendelethez
</oddHeader>
  </headerFooter>
  <rowBreaks count="1" manualBreakCount="1">
    <brk id="7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Polg.Hiv.Tata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moni</cp:lastModifiedBy>
  <cp:lastPrinted>2013-05-02T07:04:30Z</cp:lastPrinted>
  <dcterms:created xsi:type="dcterms:W3CDTF">2003-02-14T08:59:10Z</dcterms:created>
  <dcterms:modified xsi:type="dcterms:W3CDTF">2013-05-02T07:06:56Z</dcterms:modified>
  <cp:category/>
  <cp:version/>
  <cp:contentType/>
  <cp:contentStatus/>
</cp:coreProperties>
</file>