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5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 1" sheetId="5" r:id="rId5"/>
    <sheet name="5. melléklet 2" sheetId="6" r:id="rId6"/>
    <sheet name="6. melléklet 1" sheetId="7" r:id="rId7"/>
    <sheet name="6. melléklet 2" sheetId="9" r:id="rId8"/>
    <sheet name="7. melléklet " sheetId="25" r:id="rId9"/>
    <sheet name="8. melléklet" sheetId="24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 1" sheetId="15" r:id="rId15"/>
    <sheet name="13. melléklet 2" sheetId="17" r:id="rId16"/>
    <sheet name="14. melléklet 1" sheetId="16" r:id="rId17"/>
    <sheet name="14. melléklet 2" sheetId="21" r:id="rId18"/>
    <sheet name="15. melléklet" sheetId="22" r:id="rId19"/>
    <sheet name="16. melléklet" sheetId="19" r:id="rId20"/>
    <sheet name="17. melléklet " sheetId="23" r:id="rId21"/>
  </sheets>
  <definedNames>
    <definedName name="_xlnm.Print_Area" localSheetId="18">'15. melléklet'!$A$1:$O$124</definedName>
    <definedName name="_xlnm.Print_Titles" localSheetId="4">'5. melléklet 1'!$3:$4</definedName>
    <definedName name="_xlnm.Print_Titles" localSheetId="5">'5. melléklet 2'!$3:$4</definedName>
    <definedName name="_xlnm.Print_Titles" localSheetId="8">'7. melléklet '!$3:$3</definedName>
    <definedName name="_xlnm.Print_Titles" localSheetId="9">'8. melléklet'!$3:$3</definedName>
    <definedName name="_xlnm.Print_Titles" localSheetId="12">'11. melléklet'!$4:$4</definedName>
    <definedName name="_xlnm.Print_Titles" localSheetId="16">'14. melléklet 1'!$3:$5</definedName>
    <definedName name="_xlnm.Print_Titles" localSheetId="17">'14. melléklet 2'!$3:$5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<sst xmlns="http://schemas.openxmlformats.org/spreadsheetml/2006/main" count="2164" uniqueCount="1000">
  <si>
    <t xml:space="preserve"> Tata Város Önkormányzatának 2018. évi közgazdasági mérlege (E Ft-ban)</t>
  </si>
  <si>
    <t>Bevételi előirányzat</t>
  </si>
  <si>
    <t>Kiadási előirányzat</t>
  </si>
  <si>
    <t>Megnevezés</t>
  </si>
  <si>
    <t>Eredeti</t>
  </si>
  <si>
    <t xml:space="preserve">Eredeti </t>
  </si>
  <si>
    <t>Állami támogatás</t>
  </si>
  <si>
    <t>Személyi juttatások</t>
  </si>
  <si>
    <t>Működési célú támogatások (államháztartáson belülről)</t>
  </si>
  <si>
    <t>Vissza nem térítendő támogatások</t>
  </si>
  <si>
    <t>Munkaadókat terhelő járulékok és szociális hozzájárulási adó</t>
  </si>
  <si>
    <t>Felhalmozási célú támogatások államháztartáson belülről</t>
  </si>
  <si>
    <t>Közhatalmi bevételek</t>
  </si>
  <si>
    <t>Dologi kiadások</t>
  </si>
  <si>
    <t>Vagyoni típusú adók</t>
  </si>
  <si>
    <t>Ellátottak pénzbeli juttatásai</t>
  </si>
  <si>
    <t>Késedelmi pótlék</t>
  </si>
  <si>
    <t>Egyéb működési kiadások</t>
  </si>
  <si>
    <t>Elvonások és befizetések</t>
  </si>
  <si>
    <t>Előző évi elszámolásból származó kiadások</t>
  </si>
  <si>
    <t>Visszatérítendő támogatások és kölcsönök</t>
  </si>
  <si>
    <t>Működési bevételek</t>
  </si>
  <si>
    <t>Egyéb működési célú támogatások (vissza nem térítendő)</t>
  </si>
  <si>
    <t>Áru és készletértékesítés (a döntést követő 3 hónap utáni föld- és ingatlan értékesítés)</t>
  </si>
  <si>
    <t>Működési tartalékok</t>
  </si>
  <si>
    <t>Szolgáltatások ellenértéke</t>
  </si>
  <si>
    <t xml:space="preserve"> - Általános tartalék</t>
  </si>
  <si>
    <t>Közvetített szolgáltatások ellenértéke</t>
  </si>
  <si>
    <t xml:space="preserve"> - Működési tartalék</t>
  </si>
  <si>
    <t>Tulajdonosi bevételek</t>
  </si>
  <si>
    <t xml:space="preserve"> - Működési céltartalék </t>
  </si>
  <si>
    <t>Ellátási díjak</t>
  </si>
  <si>
    <t>ÁFA bevétel</t>
  </si>
  <si>
    <t>Beruházási kiadások</t>
  </si>
  <si>
    <t>Egyéb működési bevétel</t>
  </si>
  <si>
    <t>Felújítási kiadások</t>
  </si>
  <si>
    <t>Felhalmozási bevételek</t>
  </si>
  <si>
    <t>Ingatlanértékesítés</t>
  </si>
  <si>
    <t>Egyéb felhalmozási kiadások</t>
  </si>
  <si>
    <t>Működési célú átvett pénzeszközök (államháztartáson kívülről)</t>
  </si>
  <si>
    <t>Egyéb felhalmozási célú támogatások (vissza nem térítendő)</t>
  </si>
  <si>
    <t>Felhalmozási tartalékok</t>
  </si>
  <si>
    <t xml:space="preserve">Vissza nem térítendő támogatások </t>
  </si>
  <si>
    <t xml:space="preserve"> - Felhalmozási tartalék</t>
  </si>
  <si>
    <t>Felhalmozási célú átvett pénzeszközök (államháztartáson kívülről)</t>
  </si>
  <si>
    <t xml:space="preserve">Költségvetési egyenleg: </t>
  </si>
  <si>
    <t>Hiteltörlesztés</t>
  </si>
  <si>
    <t>Állami támogatás melelőlegezési hitelfelvétel</t>
  </si>
  <si>
    <t>Előző évi költségvetési maradványának igénybevétele</t>
  </si>
  <si>
    <t>Irányítószervi támogatás folyósítás</t>
  </si>
  <si>
    <t>Irányító szervi támogatás folyósítása</t>
  </si>
  <si>
    <t>BEVÉTELEK MINDÖSSZESEN</t>
  </si>
  <si>
    <t>KIADÁSOK MINDÖSSZESEN</t>
  </si>
  <si>
    <t>FINANSZÍROZÁSI BEVÉTELEK ÖSSZESEN</t>
  </si>
  <si>
    <t>KÖLTSÉGVETÉSI BEVÉTELEK ÖSSZESEN</t>
  </si>
  <si>
    <t>KÖLTSÉGVETÉSI KIADÁSOK ÖSSZESEN</t>
  </si>
  <si>
    <t>FINANSZÍROZÁSI KIADÁSOK ÖSSZESEN</t>
  </si>
  <si>
    <t>2018. évi működési célú bevételek és kiadások mérlege (E Ft-ban)</t>
  </si>
  <si>
    <t>Felhalmozási kiadásokra átcsoportosított (-)</t>
  </si>
  <si>
    <t>Áru- és készletértékesítésből</t>
  </si>
  <si>
    <t>Irányítószervi támogatás</t>
  </si>
  <si>
    <t xml:space="preserve">Irányítószervi támogatás </t>
  </si>
  <si>
    <t>Finanszírozási kiadások</t>
  </si>
  <si>
    <t>2018. évi felhalmozási célú bevételek és kiadások mérlege (E Ft-ban)</t>
  </si>
  <si>
    <t>Beruházás</t>
  </si>
  <si>
    <t>Felújítás</t>
  </si>
  <si>
    <t>Felhalmozási célú átvett pénzeszközök (államháztartáson belülről)</t>
  </si>
  <si>
    <t>Egyéb felhalmozási kiadás</t>
  </si>
  <si>
    <t>Vissza nem térítendő támogatás</t>
  </si>
  <si>
    <t>Mód.
(IV.25.)</t>
  </si>
  <si>
    <t>Mindösszesen</t>
  </si>
  <si>
    <t>Áru- és készletértékesítés (a döntést követő 3 hónap utáni föld- és ingatlan
értékesítés)</t>
  </si>
  <si>
    <t>Működési bevételekből átcsoportosított (+)</t>
  </si>
  <si>
    <t>Hiány finanszírozása belső forrásból</t>
  </si>
  <si>
    <t>Tata Város Önkormányzata és az általa irányított költségvetési szervek 2018. évi bevételei forrásonként (E Ft-ban)</t>
  </si>
  <si>
    <t>Bevételek</t>
  </si>
  <si>
    <t>Önkormányzat</t>
  </si>
  <si>
    <t>Tatai Közös Önkormányzati Hivatal</t>
  </si>
  <si>
    <t>Összesen</t>
  </si>
  <si>
    <t xml:space="preserve"> - állami támogatás működésre</t>
  </si>
  <si>
    <t xml:space="preserve"> - állami támogatás felhalmozásra</t>
  </si>
  <si>
    <t>Működési célú támogatások államháztartáson belülről</t>
  </si>
  <si>
    <t>Közhatalmi bevétel</t>
  </si>
  <si>
    <t xml:space="preserve"> - Építményadó</t>
  </si>
  <si>
    <t xml:space="preserve"> - Telekadó</t>
  </si>
  <si>
    <t>Termékek és szolgáltatások adói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</si>
  <si>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</si>
  <si>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</si>
  <si>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</si>
  <si>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</si>
  <si>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>Szolgáltatások ellenértéke (temető fenntartási hozzájárulás, sírhelydíj, nevezési díj)</t>
  </si>
  <si>
    <t>Tulajdonosi bevételek (használatba adásból, üzemeltetésbe adásból származó bevételek, stb.)</t>
  </si>
  <si>
    <t>Visszatérítendő támogatások és kölcsönök (igénylés és visszatérülés)</t>
  </si>
  <si>
    <t>Állami támogatás megelőlegezési hitelfelvétel</t>
  </si>
  <si>
    <t>Intézmények Gazdasági Hivatala
és a hozzá tartozó Intézményei</t>
  </si>
  <si>
    <t>Talajterhelési díj</t>
  </si>
  <si>
    <t>Likvid hitelfelvétel</t>
  </si>
  <si>
    <t>Likvid hiteltörlesztés</t>
  </si>
  <si>
    <t xml:space="preserve">Tata Város Önkormányzata és az általa irányított költségvetési szervek 2018. évi kiadásai </t>
  </si>
  <si>
    <t>(kiemelt előirányzatok szerinti részletezésben ) E Ft-ban</t>
  </si>
  <si>
    <t>Kiadások</t>
  </si>
  <si>
    <t>Munkaadót terhelő járulékok és szociális hozzájárulási adó</t>
  </si>
  <si>
    <t xml:space="preserve"> - Működési tartalék </t>
  </si>
  <si>
    <t xml:space="preserve">Felhalmozási tartalékok </t>
  </si>
  <si>
    <t>MŰKÖDÉSI CÉLÚ BEVÉTELEK ÖSSZESEN</t>
  </si>
  <si>
    <t>FELHALMOZÁSI CÉLÚ BEVÉTELEK ÖSSZESEN</t>
  </si>
  <si>
    <t>FELHALMOZÁSI CÉLÚ KIADÁSOK ÖSSZESEN</t>
  </si>
  <si>
    <t>MŰKÖDÉSI CÉLÚ KIADÁSOK ÖSSZESEN</t>
  </si>
  <si>
    <t>Állami támogatás megelőlegezési hiteltörlesztés</t>
  </si>
  <si>
    <t>Irányítószervi támogatás folyósítása</t>
  </si>
  <si>
    <t>Bevétel</t>
  </si>
  <si>
    <t>Kiadás</t>
  </si>
  <si>
    <t>Működési kiadások</t>
  </si>
  <si>
    <t>Felhalmozási kiadások</t>
  </si>
  <si>
    <t>Dologi</t>
  </si>
  <si>
    <t>Államigazgatás</t>
  </si>
  <si>
    <t>011 130</t>
  </si>
  <si>
    <t>Önkormányzatok és önkormányzati hivatalok jogalkotó és általános igazgatási tevékenysége</t>
  </si>
  <si>
    <t>Nem kötelező</t>
  </si>
  <si>
    <t>011 320</t>
  </si>
  <si>
    <t>Nemzetközi szervezetekben való részvétel</t>
  </si>
  <si>
    <t>Kötelező</t>
  </si>
  <si>
    <t>013 320</t>
  </si>
  <si>
    <t>Köztemető fenntartás és működtetés</t>
  </si>
  <si>
    <t>013 350</t>
  </si>
  <si>
    <t>Az önkormányzati vagyonnal való gazdálkodással kapcsolatos feladatok</t>
  </si>
  <si>
    <t>Informatikai fejlesztések, szolgáltatások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</si>
  <si>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</si>
  <si>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</si>
  <si>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</si>
  <si>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</si>
  <si>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</si>
  <si>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</si>
  <si>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</si>
  <si>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</si>
  <si>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</si>
  <si>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</si>
  <si>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</si>
  <si>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031 030</t>
  </si>
  <si>
    <t>Közterület rendjének fenntartása</t>
  </si>
  <si>
    <t>032 020</t>
  </si>
  <si>
    <t>Tűz- és katasztrófavédelmi tevékenységek</t>
  </si>
  <si>
    <t>041 233</t>
  </si>
  <si>
    <t>Bérpótló juttatásra jogosultak hosszabb időtartamú közfoglalkoztatása (Országos)</t>
  </si>
  <si>
    <t>042 220</t>
  </si>
  <si>
    <t>Erdőgazdálkodás</t>
  </si>
  <si>
    <t>045 120</t>
  </si>
  <si>
    <t>Út, autópálya építése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</si>
  <si>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</si>
  <si>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</si>
  <si>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</si>
  <si>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</si>
  <si>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</si>
  <si>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</si>
  <si>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052 080</t>
  </si>
  <si>
    <t>Szennyvíz gyűjtése, tisztítása, elhelyezése</t>
  </si>
  <si>
    <t>053 010</t>
  </si>
  <si>
    <t>Környezetszennyezés csökkentésének igazgatása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</si>
  <si>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</si>
  <si>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</si>
  <si>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</si>
  <si>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</si>
  <si>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</si>
  <si>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</si>
  <si>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</si>
  <si>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</si>
  <si>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</si>
  <si>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066 020</t>
  </si>
  <si>
    <t>Város- községgazdálkodási egyéb szolgáltatások (Közbeszerzés)</t>
  </si>
  <si>
    <t>Város- községgazdálkodási egyéb szolgáltatások (Építés- és területfejlesztés)</t>
  </si>
  <si>
    <t>Város- községgazdálkodási egyéb szolgáltatások (VKG)</t>
  </si>
  <si>
    <t>Város- községgazdálkodási egyéb szolgáltatások (felsőoktatási központ)</t>
  </si>
  <si>
    <t>081 030</t>
  </si>
  <si>
    <t>Sportlétesítmények, edzőtáborok működtetése és fejlesztése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</si>
  <si>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</si>
  <si>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</si>
  <si>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</si>
  <si>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</si>
  <si>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</si>
  <si>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</si>
  <si>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083 030</t>
  </si>
  <si>
    <t>Egyéb kiadói tevékenység</t>
  </si>
  <si>
    <t>084 032</t>
  </si>
  <si>
    <t>Civil szervezetek programtámogatása</t>
  </si>
  <si>
    <t>084 070</t>
  </si>
  <si>
    <t>Önkormányzat ifjúsági kezdeményezések és programok</t>
  </si>
  <si>
    <t>086 030</t>
  </si>
  <si>
    <t>Nemzetközi kulturális együttműködés (Testvérvárosi feladatok)</t>
  </si>
  <si>
    <t>098 031</t>
  </si>
  <si>
    <t>Pedagógiai szakmai szolgáltatások szakmai feladatai</t>
  </si>
  <si>
    <t>101 150</t>
  </si>
  <si>
    <t>Betegséggel kapcsolatos pénzbeli ellátások, támogatások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</si>
  <si>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</si>
  <si>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</si>
  <si>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</si>
  <si>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</si>
  <si>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</si>
  <si>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</si>
  <si>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</si>
  <si>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</si>
  <si>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900 020</t>
  </si>
  <si>
    <t>Önkormányzatok funkcióra nem tervezhető bevételei /helyi adók/</t>
  </si>
  <si>
    <t>M.adókat
terh. jár.
és szochó</t>
  </si>
  <si>
    <t>Dologi
kiadások</t>
  </si>
  <si>
    <t>Egyéb
működési
kiadások</t>
  </si>
  <si>
    <t>Ellátottak
pénzbeli
juttatásai</t>
  </si>
  <si>
    <t>Egyéb fel-
halmozási
kiadások</t>
  </si>
  <si>
    <t>Felhalmo-
zási tarta-
lékok</t>
  </si>
  <si>
    <t>Hitel- és
kölcsön
törlesztés</t>
  </si>
  <si>
    <t>Költségvetési
szerveknek
folyósított
támogatás</t>
  </si>
  <si>
    <t>Betét
lekötés</t>
  </si>
  <si>
    <t>Önkormányzatok és önkormányzati hivatalok jogalkotó és általános igazgatási tevékenysége - Általános tartalék</t>
  </si>
  <si>
    <t>013 370</t>
  </si>
  <si>
    <t>072 112</t>
  </si>
  <si>
    <t>Háziorvosi ügyeleti ellátás</t>
  </si>
  <si>
    <t>Kötelező összesen</t>
  </si>
  <si>
    <t>Nem kötelező összesen</t>
  </si>
  <si>
    <t>Államigazgatás összesen</t>
  </si>
  <si>
    <t>011130</t>
  </si>
  <si>
    <t>Önkormányzatok és önkormányzati hivatalok jogalkotás és általános igazgatási tevékenysége</t>
  </si>
  <si>
    <t>011220</t>
  </si>
  <si>
    <t>Adó-, vám és jövedéki igazgatás</t>
  </si>
  <si>
    <t>Állampolgársági ügyek - Anyakönyv</t>
  </si>
  <si>
    <t>031030</t>
  </si>
  <si>
    <t>Közterület rendjének fenntartása (közterület fenntartás)</t>
  </si>
  <si>
    <t>Építés hatósági ügyek</t>
  </si>
  <si>
    <t>Lakáshoz jutást segítő támogatások</t>
  </si>
  <si>
    <t>066020</t>
  </si>
  <si>
    <t>Szociális szolgáltatások igazgatása</t>
  </si>
  <si>
    <t>Tata Város Önkormányzatának 2018. évi költségvetési terve (kormányzati funkciók és kiemelt előirányzatok szerinti bontásban, E Ft-ban)</t>
  </si>
  <si>
    <t>Tatai Közös Önkormányzati Hivatal 2018. évi költségvetési terve (kormányzati funkciók és kiemelt előirányzatok szerinti bontásban, E Ft-ban)</t>
  </si>
  <si>
    <t>016 010</t>
  </si>
  <si>
    <t>016 030</t>
  </si>
  <si>
    <t>044 310</t>
  </si>
  <si>
    <t>109 010</t>
  </si>
  <si>
    <t>Város-, községgazdálkodási egyéb szolgáltatások</t>
  </si>
  <si>
    <t>Országgyűlési, önkormányzati és európai parlamenti képviselőválasztásokhoz kapcs. tevékenységek</t>
  </si>
  <si>
    <t>Tatai székhely</t>
  </si>
  <si>
    <t>Tatai székhely összesen</t>
  </si>
  <si>
    <t>Neszmélyi kirendeltség</t>
  </si>
  <si>
    <t>Dunaalmási kirendeltség</t>
  </si>
  <si>
    <t>Neszmélyi kirendeltség összesen</t>
  </si>
  <si>
    <t>Dunaalmási kirendeltség összesen</t>
  </si>
  <si>
    <t>Dunaszentmiklósi kirendeltség</t>
  </si>
  <si>
    <t>Dunaszentmiklósi kirendeltség összesen</t>
  </si>
  <si>
    <t>Kirendeltségek összesen</t>
  </si>
  <si>
    <t>Közös Hivatal összesen</t>
  </si>
  <si>
    <t>Intézmények Gazdasági Hivatalához tartozó önállóan működő intézmények 2018.évi költségvetése E Ft-ban</t>
  </si>
  <si>
    <t>Költségvetési alcím megnevezése</t>
  </si>
  <si>
    <t>Feladat jellege</t>
  </si>
  <si>
    <t>ÁFA</t>
  </si>
  <si>
    <t>Kiadások összesen</t>
  </si>
  <si>
    <t xml:space="preserve"> Tatai Fürdő utcai Óvoda</t>
  </si>
  <si>
    <t>Tatai Kincseskert Óvoda Szivárvány Tagintézménye</t>
  </si>
  <si>
    <t>Tatai Geszti Óvoda</t>
  </si>
  <si>
    <t>Tatai Bartók Béla Óvoda</t>
  </si>
  <si>
    <t>Tatai Kertvárosi Óvoda</t>
  </si>
  <si>
    <t xml:space="preserve"> Tatai Kincseskert Óvoda</t>
  </si>
  <si>
    <t>Tatai Geszti Óvoda Bergengócia Tagintézménye</t>
  </si>
  <si>
    <t xml:space="preserve"> Tatai Csillagsziget Bölcsöde</t>
  </si>
  <si>
    <t>Tatai Vaszary J. Általános Iskola</t>
  </si>
  <si>
    <t>Vaszary J. Általános Iskola Jázmin utcai Tagintézménye</t>
  </si>
  <si>
    <t>Tatai Vaszary J. Általános Iskola ÖSSZESEN</t>
  </si>
  <si>
    <t>Tatai Kőkúti Általános Iskola</t>
  </si>
  <si>
    <t>Kőkúti Általános Iskola - Fazekas utcai Tagintézmény</t>
  </si>
  <si>
    <t>Tatai Kőkúti Általános Iskola ÖSSZESEN</t>
  </si>
  <si>
    <t>KEM-i Óvoda, Ált. Iskola, Speciális Szakiskola, Kollégium és Gyermekotthon</t>
  </si>
  <si>
    <t>Bláthy Ottó Szakközépiskola, Szakiskola és Kollégium</t>
  </si>
  <si>
    <t>Intézmények Gazdasági Hivatala</t>
  </si>
  <si>
    <t>Önként vállalt feladat</t>
  </si>
  <si>
    <t>ISKOLÁK és IGH ÖSSZESEN</t>
  </si>
  <si>
    <t>Tatai Kuny Domokos Múzeum</t>
  </si>
  <si>
    <t>Tata Móricz Zsigmond Városi Könyvtár</t>
  </si>
  <si>
    <t>Tatai Egészségügyi Alapellátó Intézmény</t>
  </si>
  <si>
    <t>Költségvetési  alcímek és szakfeladatok ÖSSZSESEN</t>
  </si>
  <si>
    <t>IGH feladatkörébe tartozó kötelező feladatok</t>
  </si>
  <si>
    <t>IGH feladatkörébe tartozó önként vállalt  feladatok</t>
  </si>
  <si>
    <t>Ellátási
díjak</t>
  </si>
  <si>
    <t>Átvett
pénzeszközök</t>
  </si>
  <si>
    <t>Finanszí-
rozás</t>
  </si>
  <si>
    <t>Bevételek
összesen</t>
  </si>
  <si>
    <t>Költségvetési
alcím
megnevezése</t>
  </si>
  <si>
    <t>Feladat
jellege</t>
  </si>
  <si>
    <t>Önként
vállalt
feladat</t>
  </si>
  <si>
    <t>Mindösz-
szesen</t>
  </si>
  <si>
    <t>Kötelező feladat</t>
  </si>
  <si>
    <t>Személyi
juttatás</t>
  </si>
  <si>
    <t>M.adókat
terhelő jár.</t>
  </si>
  <si>
    <t>2018. évi beruházási kiadások feladatonként (ÁFA-val) E Ft-ban</t>
  </si>
  <si>
    <t>Pályázatok és azokhoz kapcsolódó feladatok</t>
  </si>
  <si>
    <t>Csatlakozási konstrukció az önkormányzati ASP rendszer országos kiterjesztéséhez KÖFOP-1.2.1-VEKOP-16-2017-01302</t>
  </si>
  <si>
    <t>A helyi gazdaság erőforrásaira épülő piac- és agrárlogisztikai fejlesztés Tatán TOP-1.1.3-15-KO1-2016-00003</t>
  </si>
  <si>
    <t>Helyi alapanyagokra épülő minőségi közétkeztetésért – iskolai konyhák hálózatos fejlesztés Tatán TOP-1.1.3.-15-KO1-2016-00002</t>
  </si>
  <si>
    <t>013350</t>
  </si>
  <si>
    <t>Társadalmi és környezeti szempontból fenntartható turizmusfejlesztés Angolkert Malomkert - Angolkerti rehabilitáció III. ütem</t>
  </si>
  <si>
    <t>CULTPLAY - Interkatív tematikus parkok létrehozása, kulturális örökség innovatív használata</t>
  </si>
  <si>
    <t xml:space="preserve">A Tatai Kőfaragó-ház kézműves és aktív ökoturisztikai látogatóközpontként való rehabilitációja és a Kálvária-domb egységes turisztikai termékcsomagként való bemutatása TOP-1.2.1.-15-KO1-2016-00005                                                                              </t>
  </si>
  <si>
    <t>Csillagsziget Bölcsőde felújítása Tatán TOP-1.4.1-15-KO1-2016-00020</t>
  </si>
  <si>
    <t>Tatai Építők parkjában városi zöld infrastruktúra fejlesztés TOP-2.1.2-15-KO1-2016-00002</t>
  </si>
  <si>
    <t>KOMBI-Határon Átnyúló Integrált Kerékpárkölcsönző rendszer Interreg V-A Szlovákia-Magyarország Együttműködési Program</t>
  </si>
  <si>
    <t>Sacra Velo Interreg V-A Szlovákia-Magyarország Együttműködési Program</t>
  </si>
  <si>
    <t>063080</t>
  </si>
  <si>
    <t>Lo presti forrás elvezetése a Hajdú utcai gyű.</t>
  </si>
  <si>
    <t>064010</t>
  </si>
  <si>
    <t>Mikovényi-Jázmin-Gesztenye fasor körforgalom építés, közvilágítás tervezés és kivitelezés</t>
  </si>
  <si>
    <t>Testvérvárosi park melletti Cifra malmi ág meder rendezése</t>
  </si>
  <si>
    <t>Kisértékű tárgyi eszköz beszerés (fényképezőgéphez memóriakártya)</t>
  </si>
  <si>
    <t>045120</t>
  </si>
  <si>
    <t xml:space="preserve">Fenntartható települési közlekedésfejlesztés TOP-3.1.1-16 </t>
  </si>
  <si>
    <t>Egyéb 2018. évi igények</t>
  </si>
  <si>
    <t>Elektromos autótöltő állomás Jedlik Ányos terv</t>
  </si>
  <si>
    <t>053010</t>
  </si>
  <si>
    <t>Fényes fürdő területén fejlesztések végrehajtása</t>
  </si>
  <si>
    <t>Malom patak rendbetétele (Ady E. út és Pötörke malom közötti szakasz)</t>
  </si>
  <si>
    <t>Visszatérő forrásokkal kapcsolatos feladatok</t>
  </si>
  <si>
    <t>Hulladékudvar tervezése</t>
  </si>
  <si>
    <t>066010</t>
  </si>
  <si>
    <t>Gázmotor kiváltása (2017. évi szerződés)</t>
  </si>
  <si>
    <t>Május 1. út 45. vízelvezetés tervezése (2017. évi szerződés)</t>
  </si>
  <si>
    <t>Magasvezetésű tápcsatorna rekonstrukciója</t>
  </si>
  <si>
    <t>Mikovényi-Jázmin-Gesztenye fasor körforgalom építés, zöldterületi terv és közvilágítás tervezés</t>
  </si>
  <si>
    <t>Ingatlanvásárlás</t>
  </si>
  <si>
    <t>61/2 hrsz.-ú ingatlan vételár részlete</t>
  </si>
  <si>
    <t>61/1 hrsz.-ú ingatlan vételár részlete</t>
  </si>
  <si>
    <t>Ipari park - 20 kW-os energiaellátása (2017. évről áthúzódó kiadás)</t>
  </si>
  <si>
    <t xml:space="preserve">Építésügyi hatósági hatáskör ellátásához előírt tárgyi eszközök (lézeres távolságmérő, szintező műszer) </t>
  </si>
  <si>
    <t>Jávorka Sándor Mezőgazdasági és Élelmiszeripari Szakképző Iskola és Kollégium mögötti terület fejlesztése (közmű-, útfejlesztés)</t>
  </si>
  <si>
    <t>Piac tér kiszolgáló út II. ütem</t>
  </si>
  <si>
    <t>Mikovényi-Jázmin-Gesztenye fasor körforgalom építés, településrendezési szerződés szerint</t>
  </si>
  <si>
    <t>Építők parkja villamosvezeték kiváltás és erőátvitel</t>
  </si>
  <si>
    <t>2017-ről áthúzódó felhalmozási számlák fedezetére</t>
  </si>
  <si>
    <t>Tárgyi eszköz beszerzés (bútor, szék, szőnyeg, textília, egyéb – gondnoksági feladatokhoz)</t>
  </si>
  <si>
    <t>Tárgyi eszköz beszerzés hivatali üdülőkben: Balatonvilágos (hűtő, egyéb konyhai felszerelés, stb.)</t>
  </si>
  <si>
    <t>Tárgyi eszköz beszerzés hivatali üdülőkben: Balatonfüred (falra szerelhető asztal, egyéb konyhai eszközök)</t>
  </si>
  <si>
    <t>Tárgyi eszköz beszerzés hivatali üdülőkben: Fényes-fürdő (konyhai felszerelések, szék, asztal)</t>
  </si>
  <si>
    <t>Információbiztonsági beruházás, eszközbeszerzés</t>
  </si>
  <si>
    <t>Informatikai eszközbeszerzések</t>
  </si>
  <si>
    <t>Egyéb kis értékű tárgyi eszköz beszerzés</t>
  </si>
  <si>
    <t>Dokumentumkezelő rendszer bevezetése</t>
  </si>
  <si>
    <t>Tárgyi eszköz beszerzés</t>
  </si>
  <si>
    <t>Intézmények Gazdasági Hivatala és a hozzá tartozó költségvetési szervek</t>
  </si>
  <si>
    <t>Tatai Csillagsziget Bölcsőde csoportszobákba ventilátor (9 db)</t>
  </si>
  <si>
    <t>Tatai Csillagsziget Bölcsőde gyermek öltözőszekrény (8 db)</t>
  </si>
  <si>
    <t>Tatai Csillagsziget Bölcsőde számítástechnikai eszközök: lézernyomtató, laptop</t>
  </si>
  <si>
    <t>Tatai Kincseskert Óvoda számítástechnikai eszköz: nyomtató/scenner</t>
  </si>
  <si>
    <t>Tatai Kincseskert Óvoda kis értékű tárgyi eszközök: iratmegsemmisítő, vezetékes készülék, ipari porszívó</t>
  </si>
  <si>
    <t>Tatai Kincseskert Óvoda Szivárvány Tagintézménye kis értékű eszköz: iratmegsemmisítő</t>
  </si>
  <si>
    <t>Tatai Kincseskert Óvoda Szivárvány Tagintézménye számítástechnikai eszköz: laptop</t>
  </si>
  <si>
    <t>Tatai Kertvárosi Óvoda kerítés az első urdvarra</t>
  </si>
  <si>
    <t>Tatai Kertvárosi Óvoda homokozó az első udvarra</t>
  </si>
  <si>
    <t>Tatai Kertvárosi Óvoda gyermek asztalok, mindhárom csoportra (24 db)</t>
  </si>
  <si>
    <t>Tatai Kertvárosi Óvoda projektor</t>
  </si>
  <si>
    <t>Tatai Kertvárosi Óvoda sötétítő függöny csoportszobákba</t>
  </si>
  <si>
    <t>Tatai Fürdő Utcai Néphagyományőrző Óvoda számítástechnikai eszköz: laptop</t>
  </si>
  <si>
    <t>Tatai Fürdő Utcai Néphagyományőrző Óvoda irodatechnikai eszköz: fénymásoló</t>
  </si>
  <si>
    <t>Tatai Fürdő Utcai Néphagyományőrző Óvoda csoportszobai kötelező kis értékű tárgyi eszközök</t>
  </si>
  <si>
    <t>Tatai Bartók Béla Óvoda ipari botmixer</t>
  </si>
  <si>
    <t>Tatai Bartók Béla Óvoda óvodai honlap készítés</t>
  </si>
  <si>
    <t>Tatai Geszti Óvoda kis értékű tárgyi eszköz: iratmegsemmisítő</t>
  </si>
  <si>
    <t>Tatai Geszti Óvoda számítástechnikai eszköz: nyomtató</t>
  </si>
  <si>
    <t>Tatai Geszti Óvoda Agostyáni Tagintézménye kis értékű tárgyi eszköz: porszívó, mosógép</t>
  </si>
  <si>
    <t>Tatai Geszti Óvoda Agostyáni Tagintézménye számítástechnikai eszköz: nyomtató</t>
  </si>
  <si>
    <t>Intézmények Gazdasági Hivatala számítástechnikai eszköz: számítógép</t>
  </si>
  <si>
    <t>Intézmények Gazdasági Hivatala menza program</t>
  </si>
  <si>
    <t>Tatai Egészségügyi Alapellátó Intézmény Család- és növényvédelem: eü.gondozás: szűrőaudiométer</t>
  </si>
  <si>
    <t>Tatai Egészségügyi Alapellátó Intézmény Család- és növényvédelem: eü.gondozás: magzati szívhang hallgató</t>
  </si>
  <si>
    <t>Tatai Egészségügyi Alapellátó Intézmény Család- és növényvédelem: eü.gondozás: laptop (2 db)</t>
  </si>
  <si>
    <t>Tatai Egészségügyi Alapellátó Intézmény Család- és növényvédelem: eü.gondozás: irodai forgószék (2 db)</t>
  </si>
  <si>
    <t>Tatai Egészségügyi Alapellátó Intézmény Család- és növényvédelem: eü.gondozás: Stefánia védőnői program</t>
  </si>
  <si>
    <t>Tatai Egészségügyi Alapellátó Intézmény Ifjúság-egészségügyi gondozás: nyomtató</t>
  </si>
  <si>
    <t>Tatai Egészségügyi Alapellátó Intézmény Ifjúság-egészségügyi gondozás: szűrőaudiométer</t>
  </si>
  <si>
    <t>Tatai Egészségügyi Alapellátó Intézmény Ifjúság-egészségügyi gondozás: laptop</t>
  </si>
  <si>
    <t>Kuny Domokos Múzeum szellemi termék: szoftverek</t>
  </si>
  <si>
    <t>Kuny Domokos Múzeum kulturális javak: műtárgy vásárlások</t>
  </si>
  <si>
    <t>Kuny Domokos Múzeum restaurátor eszközök</t>
  </si>
  <si>
    <t>Kuny Domokos Múzeum épületriasztók: Német Nemzetiségi Múzeum, Öreg Vár</t>
  </si>
  <si>
    <t>Kuny Domokos Múzeum karbantartási feladatokhoz kisgépek</t>
  </si>
  <si>
    <t>Kuny Domokos Múzeum bútorzat beszerzés</t>
  </si>
  <si>
    <t>Kuny Domokos Múzeum fix híd (átjáró) Német Nemzetiségi Múzeum</t>
  </si>
  <si>
    <t>Kuny Domokos Múzeum Járásszékhely pályázat (fedezet a 2017. évben megérkezett)</t>
  </si>
  <si>
    <t>Móricz Zsigmond Városi Könyvtár dokumentum beszerzés: könyv, cd</t>
  </si>
  <si>
    <t>Móricz Zsigmond Városi Könyvtár kis értékű tárgyi eszközök: mobilklíma (2 db)</t>
  </si>
  <si>
    <t>Malom patak meder rekonstrukció tervezése (2.4 szakasz)</t>
  </si>
  <si>
    <t>Nagyértékű tárgyi eszköz beszerzés, klímaberendezések pótlása, cseréje (gondnoksági feladathoz kapcsolódóan)</t>
  </si>
  <si>
    <t>I. verzió</t>
  </si>
  <si>
    <t>Csillagsziget Bölcsöde felújítása Tatán TOP-1.4.1-15-KO1-2016-00020</t>
  </si>
  <si>
    <t>Mart aszfaltos utak felújítása (Újvilág, Mária, Nyírfa, Tulipán, Balogh F., Határ, Újhegyi, Nagy L.)</t>
  </si>
  <si>
    <t>Akadálymentesítés, közlekedésbiztonság növelése (járdák, gyalogátkelőhelyek)</t>
  </si>
  <si>
    <t>Járdafelújítások (Május 1., Bezerédi, Keszthelyi, Vértesszőlősi, Oroszlányi, Iskola)</t>
  </si>
  <si>
    <t>Naplókert u. burkolat szélesítése garázssor előtt és Kiss E. utca burkolat szélesítése bevezető szakaszon</t>
  </si>
  <si>
    <t>Körforgalom, Oroszlányi út-Új út csomópont, Fényes áruház mögötti közvilágítások LED-es felújítása</t>
  </si>
  <si>
    <t>Játszóterek felújítása (Dadi utcai játszótér fitness eszközök elhelyezése, Lovardai játszótér fejlesztése, kerítések, Bacsó B. u. 66. Levendula úti játszótéren ivóvízkút elhelyezése, Május 1 út 35-nél térvilágítás)</t>
  </si>
  <si>
    <t>MKB Bank Zrt. előtti előtető felújítása</t>
  </si>
  <si>
    <t>Közösségi Felsőoktatási Képzési Központ - bejárati ajtó és kerítés felújítása</t>
  </si>
  <si>
    <t>Polgármesteri Hivatal kapu kialakítása feltáró, közlekedő úttal a Bláthy utca felé</t>
  </si>
  <si>
    <t>Hajdú utcán meglévő vízelvezető rendszer helyreállítása</t>
  </si>
  <si>
    <t>106010</t>
  </si>
  <si>
    <t>Önkormányzati bérlakások felújítása</t>
  </si>
  <si>
    <t>Önkormányzati nem lakás célú helyiségek felújítása</t>
  </si>
  <si>
    <t>Vaszary Villa felújítási munkálataira</t>
  </si>
  <si>
    <t>Tulipán út hiányzó szakasz és Fűzfa utca pormentesítése mart aszfalttal</t>
  </si>
  <si>
    <t>052080</t>
  </si>
  <si>
    <t xml:space="preserve">Viziközműveken 2017.06.30-ig végzett felújítások fizetési határidő miatt 2018-ra áthúzódó része                        </t>
  </si>
  <si>
    <t>Agostyán,Szabadság út 9. sz. alatt járda, árok rendezése</t>
  </si>
  <si>
    <t>Eszterházy kastély udvarában található tómeder felújítás, helyreállítása és csapadékcsatornába vezetése</t>
  </si>
  <si>
    <t>Kismosó-patak mederrendezése</t>
  </si>
  <si>
    <t>Energetikai korszerűsítés a tatai Kertvárosi Óvodában TOP-3.2.1-16-KOI-2017-000001</t>
  </si>
  <si>
    <t>A tatai Szivárvány Óvoda épületenergetikai megújítása TOP-3.2.1-16-KOI-2017-00007</t>
  </si>
  <si>
    <t xml:space="preserve">A közösségi művelődési intézmény- és szervezetrendszer tanulást segítő infrastrukturális fejlesztései EFOP-4.1.7-16 </t>
  </si>
  <si>
    <t>Tatai Fürdő Utcai Néphagyományőrző Óvoda csoportszoba laminált parketta fektetése és szegélyezése</t>
  </si>
  <si>
    <t>Tatai Kincseskert Óvoda udvari járda felújítása</t>
  </si>
  <si>
    <t>Tatai Kertvárosi Óvoda parkettacsere 1 csoportszobába</t>
  </si>
  <si>
    <t>Tatai Kertvárosi Óvoda udvari játékok felújítása</t>
  </si>
  <si>
    <t>Tatai Kertvárosi Óvoda régi radiátorok cseréje</t>
  </si>
  <si>
    <t>Tatai Geszti Óvoda udvari játékok felújítása</t>
  </si>
  <si>
    <t>Tatai Geszti Óvoda villanyvezeték korszerűsítése</t>
  </si>
  <si>
    <t>Tatai Geszti Óvoda fürdőszoba felújítása</t>
  </si>
  <si>
    <t>Tatai Geszti Óvoda Agostyáni Tagintézménye egy udvari játék felújítása</t>
  </si>
  <si>
    <t>Tatai Bartók Béla Óvoda szennyvíz átemelő akna gépészeti munkái</t>
  </si>
  <si>
    <t>Kuny Domokos Múzeum víz-, szennyvíz-, villanyhálózat felújítás (Öreg Vár, Német Nemzetiségi Múzeum, Deák F. utcai raktár) azonnali hibaelhárítások</t>
  </si>
  <si>
    <t>Kuny Domokos Múzeum raktár vizesedési problémák (Német Nemzetiségi Múzeum)</t>
  </si>
  <si>
    <t>Kuny Domokos Múzeum épület állagmegóvás (tető és vizes falak) Zsinagóga</t>
  </si>
  <si>
    <t>Kuny Domokos Múzeum korlátok, romkert, ablakok minimális helyreállítása (látogatók biztonsága: kőomlás, balesetveszély) Öreg Vár</t>
  </si>
  <si>
    <t>Kuny Domokos Múzeum felújítási tervek (műemlékvédelem által elfogadott dokumentáció összeállítása, faldiagnosztika, 3 D felmérés, statikai felmérések, gépészet felülvizsgálata) Öreg Vár</t>
  </si>
  <si>
    <t>Móricz Zsigmond Városi Könyvtár nyílászárók cseréje (2 db ajtó, 2 db ablak)</t>
  </si>
  <si>
    <t>Móricz Zsigmond Városi Könyvtár buszvégállomás felőli fal szigetelése</t>
  </si>
  <si>
    <t>2018. évi felújítási kiadások célonként (ÁFA-val) E Ft-ban</t>
  </si>
  <si>
    <t>Tata Város Önkormányzata által folyósított 2018. évi ellátottak pénzbeli és természetbeni juttatásának részletezése (E Ft-ban)</t>
  </si>
  <si>
    <t>Tatai fiatalok életkezdési támogatása</t>
  </si>
  <si>
    <t>Rendkívüli települési támogatás (pénzbeli)</t>
  </si>
  <si>
    <t>Arany János Tehetséggondozó Programhoz kapcsolódó szociális támogatás</t>
  </si>
  <si>
    <t xml:space="preserve">18. életévét betöltött tartósan beteg hozzátartozójának ápolását, gondozását végző személy részére </t>
  </si>
  <si>
    <t xml:space="preserve">Gyógyszer kiadások viseléséhez </t>
  </si>
  <si>
    <t>Lakhatáshoz kapcsolódó rendszeres kiadások viseléséhez</t>
  </si>
  <si>
    <t xml:space="preserve">Bursa Hungarica </t>
  </si>
  <si>
    <t>Rászorultságtól függő pénzbeli szociális, gyermekvédelmi ellátások összesen</t>
  </si>
  <si>
    <t>Köztemetés</t>
  </si>
  <si>
    <t>KNYKK tanulóbérlet</t>
  </si>
  <si>
    <t>Rendkívüli települési támogatás (természetbeni)</t>
  </si>
  <si>
    <t>Természetben nyújtott ellátások összesen</t>
  </si>
  <si>
    <t>Önkormányzat által folyósított szociális, gyermekvédelmi ellátások összesen</t>
  </si>
  <si>
    <t>Tata Város Önkormányzata és a Tatai Közös Önkormányzati Hivatal által adott visszatérítendő és vissza nem térítendő támogatások 2018. évi alakulása (E Ft-ban)</t>
  </si>
  <si>
    <t>TATA VÁROS ÖNKORMÁNYZATA</t>
  </si>
  <si>
    <t>Működési célú támogatások államháztartáson belülre (vissza nem térítendő)</t>
  </si>
  <si>
    <t>Tatai Kistérségi Többcélú Társulásnak támogatás (tagdíj, állami támogatás és önkormányzati támogatás)</t>
  </si>
  <si>
    <t>Rendőrségnek</t>
  </si>
  <si>
    <t>Működési célú támogatások államháztartáson kívülre (vissza nem térítendő)</t>
  </si>
  <si>
    <t>Juniorka Alapítványi Óvoda támogatása (köznevelési szerződés alapján)</t>
  </si>
  <si>
    <t>Juniorka Alapítványi Bölcsőde támogatása (ellátási szerződés alapján)</t>
  </si>
  <si>
    <t>Tatai Városgazda Nonprofit Kft. támogatása</t>
  </si>
  <si>
    <t>Tatai Városkapu Zrt. támogatása</t>
  </si>
  <si>
    <t>Tatai Televízió Közalapítvány támogatása</t>
  </si>
  <si>
    <t>TAC támogatása</t>
  </si>
  <si>
    <t>Környezetvédelmi Alap</t>
  </si>
  <si>
    <t>Egészségügyi alapellátás támogatása 5 fogászati körzetre</t>
  </si>
  <si>
    <t>Közösségi közlekedés szolgáltatója részére működési költségtérítés</t>
  </si>
  <si>
    <t>Tata és Környéke Turisztikai Egyesület (Turisztikai Desztináció Menedzsment) támogatása</t>
  </si>
  <si>
    <t>Tatai Vadlúd Sokadalom támogatása</t>
  </si>
  <si>
    <t>Magyary Zoltán Népfőiskolai Társaság támogatása közművelődési megállapodás alapján</t>
  </si>
  <si>
    <t>Gölbasi Vitézei Egyesületnek - Tata Várának Janicsárjai támogatása</t>
  </si>
  <si>
    <t>Működési célú visszatérítendő támogatások, kölcsönök nyújtása államháztartáson kívülre</t>
  </si>
  <si>
    <t>Tatai Öreg-tó Kft. részére tagi kölcsön nyújtása</t>
  </si>
  <si>
    <t>Tata Város Önkormányzat Képviselő- testületének 68/2018.(II.28.) Tata Kt. határozata A Kőkúti Sasok Diák Sportegyesületnek</t>
  </si>
  <si>
    <t>Felhalmozási célú támogatások államháztartáson kívülre (vissza nem térítendő)</t>
  </si>
  <si>
    <t>Értékvédelmi feladatok támogatása</t>
  </si>
  <si>
    <t>TATAI KÖZÖS ÖNKORMÁNYZATI HIVATAL</t>
  </si>
  <si>
    <t>Felhalmozási célú visszatérítendő támogatások, kölcsönök nyújtása államháztartáson kívülre</t>
  </si>
  <si>
    <t>Munkáltatói kölcsön nyújtása</t>
  </si>
  <si>
    <t>Működési célú visszatérítendő támogatások, kölcsönök nyújtása összesen</t>
  </si>
  <si>
    <t>MŰKÖDÉSI CÉLÚ TÁMOGATÁSOK (VISSZATÉRÍTENDŐ ÉS VISSZA NEM TÉRÍTENDŐ) ÖSSZESEN</t>
  </si>
  <si>
    <t>FELHALMOZÁSI CÉLÚ TÁMOGATÁSOK (VISSZATÉRÍTENDŐ ÉS VISSZA NEM TÉRÍTENDŐ) ÖSSZESEN</t>
  </si>
  <si>
    <t>2018. évi kapott visszatérítendő és vissza nem térítendő támogatások és pénzeszközátvételek alakulása Tata Város Önkormányzatánál és a Tatai Közös Önkormányzati Hivatalnál (E Ft-ban)</t>
  </si>
  <si>
    <t>Működési célú támogatások államháztartáson belülről (vissza nem térítendő)</t>
  </si>
  <si>
    <t>Tatai Kistérségi Többcélú Társulástól (belső ellenőrzéshez, infrastrukturális háttér biztosításához)</t>
  </si>
  <si>
    <t>Munkaügyi Központtól közfoglalkoztatás, téli közfoglalkoztatás, egyéb támogatásra</t>
  </si>
  <si>
    <t>Autómentes nap NFM támogatás</t>
  </si>
  <si>
    <t>Visszatérő karsztforrásokkal kapcsolatos előzetes vizsgálatok (Kormányhatározat alapján)</t>
  </si>
  <si>
    <t>Működési célú  támogatások államháztartáson kívülről (vissza nem térítendő)</t>
  </si>
  <si>
    <t>Duna projekt visszatérő források pályázati előkészítése</t>
  </si>
  <si>
    <t>Működési célú visszatérítendő támogatások, kölcsönök visszatérülése államháztartáson kívülről</t>
  </si>
  <si>
    <t>Tatai Öreg-tó Kft. Tagi kölcsön visszatérülés</t>
  </si>
  <si>
    <t>Felhalmozási célú támogatások államháztartáson belülről (vissza nem térítendő)</t>
  </si>
  <si>
    <t>Hajdú utca meglévő vízelvezető rendszer helyreállítása (Kormányhatározat alapján)</t>
  </si>
  <si>
    <t>Esterházy Kastély udvarában található tó meder helyreállítása és csapadékcsatornába vezetése (Kormányhatározat alapján)</t>
  </si>
  <si>
    <t>Lo presti forrás elvezetése a Hajdú utcai gyűjtőbe (Kormányhatározat alapján)</t>
  </si>
  <si>
    <t>Kismosó-patak mederrendezése (Kormányhatározat alapján)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</si>
  <si>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</si>
  <si>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</si>
  <si>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Kamatmentes lakossági kölcsön visszafizetése</t>
  </si>
  <si>
    <t>Értékvédelmi feladatokra háztartásnak adott kölcsön visszatérülése</t>
  </si>
  <si>
    <t>Vis major támogatás (kölcsön) visszafizetése</t>
  </si>
  <si>
    <t>Munkáltatói kölcsön visszafizetése</t>
  </si>
  <si>
    <t>Országgyűlési választások</t>
  </si>
  <si>
    <t>Dunaalmás Önkormányzatától</t>
  </si>
  <si>
    <t>Neszmély Önkormányzatától</t>
  </si>
  <si>
    <t>Dunaszentmiklós Önkormányzatától</t>
  </si>
  <si>
    <t>Működési célú visszatérítendő támogatások, átvett pénzeszközök összesen</t>
  </si>
  <si>
    <t>Működési célú vissza nem térítendő támogatások összesen</t>
  </si>
  <si>
    <t>Felhalmozási célú vissza nem térítendő támogatások összesen</t>
  </si>
  <si>
    <t>Felhalmozási célú visszatérítendő támogatások összesen</t>
  </si>
  <si>
    <t>Önkormányzati költségvetési szervek engedélyezett létszáma</t>
  </si>
  <si>
    <t>Költségvetési szervek megnevezése</t>
  </si>
  <si>
    <t>Engedélyezett létszám (fő)</t>
  </si>
  <si>
    <t>Tatai Fürdő utcai Óvoda</t>
  </si>
  <si>
    <t>Tatai Geszti Óvoda - Agostyáni Tagintézménye</t>
  </si>
  <si>
    <t>Tatai Geszti Óvoda összesen</t>
  </si>
  <si>
    <t>Tatai Bartók Béla úti Óvoda</t>
  </si>
  <si>
    <t>Tatai Kincseskert Óvoda</t>
  </si>
  <si>
    <t>Tatai Kincseskert Óvoda - Szivárvány Tagintézménye</t>
  </si>
  <si>
    <t>Tatai Kincseskert Óvoda összesen</t>
  </si>
  <si>
    <t>Óvodák összesen</t>
  </si>
  <si>
    <t>Csillagsziget Bölcsőde</t>
  </si>
  <si>
    <t>Móricz Zsigmond Könyvtár</t>
  </si>
  <si>
    <t xml:space="preserve">Intézmények Gazdasági Hivatala </t>
  </si>
  <si>
    <t>Kuny Domokos Múzeum</t>
  </si>
  <si>
    <t>Hosszabb időtartamú közfoglalkoztatás</t>
  </si>
  <si>
    <t>Városi Önkormányzat Intézményei összesen</t>
  </si>
  <si>
    <t xml:space="preserve"> - Dunaszentmiklósi kirendeltség</t>
  </si>
  <si>
    <t xml:space="preserve"> - Dunaalmási kirendeltség</t>
  </si>
  <si>
    <t xml:space="preserve"> - Közös Hivatal székhely szerinti szervezeti egysége</t>
  </si>
  <si>
    <t xml:space="preserve"> - Neszmélyi kirendeltség</t>
  </si>
  <si>
    <t>Tatai Közös Önkormányzati Hivatal összesen</t>
  </si>
  <si>
    <r>
      <t>Tata Város Önkormányzata</t>
    </r>
    <r>
      <rPr>
        <sz val="11"/>
        <rFont val="Times New Roman"/>
        <family val="1"/>
      </rPr>
      <t xml:space="preserve"> - választott tisztségviselők</t>
    </r>
  </si>
  <si>
    <t>Önkormányzati közfoglalkoztatottak éves létszám-előirányzata</t>
  </si>
  <si>
    <t>Átlagos létszám</t>
  </si>
  <si>
    <t>Adósságot keletkeztető ügyletek</t>
  </si>
  <si>
    <t>2018 – 2024-ig a hosszú lejáratú felhalmozási hitel visszafizetéseket figyelembe véve (E Ft-ban)</t>
  </si>
  <si>
    <t>166.393 E Ft
1,70 % kamat</t>
  </si>
  <si>
    <t>650.000 E Ft
2,14 % kamat</t>
  </si>
  <si>
    <t>Tartozás 2018.</t>
  </si>
  <si>
    <t>törlesztés</t>
  </si>
  <si>
    <t>kamat</t>
  </si>
  <si>
    <t>Tartozás 2019.</t>
  </si>
  <si>
    <t>Tartozás 2020.</t>
  </si>
  <si>
    <t>Tartozás 2021.</t>
  </si>
  <si>
    <t>Tartozás 2022.</t>
  </si>
  <si>
    <t>Tartozás 2023.</t>
  </si>
  <si>
    <t>Tartozás 2024.</t>
  </si>
  <si>
    <t>Az Önkormányzat adósságot keletkeztető ügyleteinek és azok fedezetére felhasználható saját bevételeink alakulása (E Ft-ban)</t>
  </si>
  <si>
    <t>2019.</t>
  </si>
  <si>
    <t>2020.</t>
  </si>
  <si>
    <t>2021.</t>
  </si>
  <si>
    <t>2022.</t>
  </si>
  <si>
    <t>2023.</t>
  </si>
  <si>
    <t>7. évet követően lejáratig (2024.)</t>
  </si>
  <si>
    <t>Helyi adók</t>
  </si>
  <si>
    <t>Osztalék, koncessziós díj, hozambevétel (kamatbevétel)</t>
  </si>
  <si>
    <t>Díjak, pótlékok, bírságok</t>
  </si>
  <si>
    <t>Szolgáltatások ellenértéke (temető fenntartási hozzájárulás,sírhelydíj, nevezési díj)</t>
  </si>
  <si>
    <t>Tulajdonosi bevétel (használatba adásból, üzemeltetésbe adásból származó bevétel)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</si>
  <si>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</si>
  <si>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</si>
  <si>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</si>
  <si>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</si>
  <si>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</si>
  <si>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</si>
  <si>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</si>
  <si>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</si>
  <si>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</si>
  <si>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Kiadás, melyre a pénzmaradvány fordítódik</t>
  </si>
  <si>
    <t>Járulék</t>
  </si>
  <si>
    <t>Működési célú vissza nem térítendő támogatás</t>
  </si>
  <si>
    <t xml:space="preserve">Csatlakozási konstrukció az önkormányzati ASP rendszer országos kiterjesztéséhez KÖFOP-1.2.1-VEKOP-16-2017-01302 </t>
  </si>
  <si>
    <t xml:space="preserve">Helyi alapanyagokra épülő minőségi közétkeztetésért – iskolai konyhák hálózatos fejlesztés Tatán TOP-1.1.3.-15-KO1-2016-00002 </t>
  </si>
  <si>
    <t xml:space="preserve">A Tatai Kőfaragó-ház kézműves és aktív ökoturisztikai látogatóközpontként való rehabilitációja és a Kálvária-domb egységes turisztikai termékcsomagként való bemutatása TOP-1.2.1.-15-KO1-2016-00005                                                                          </t>
  </si>
  <si>
    <t>Tatai Építők parkjában városi zöld infrastruktúra fejlesztés TOP-2.1.2.-15-KO1-2016-00002</t>
  </si>
  <si>
    <t xml:space="preserve">Tatai Építők parkjában városi zöld infrastruktúra fejlesztés TOP-2.1.2.-15-KO1-2016-00002 </t>
  </si>
  <si>
    <t>Eszterházy Kastély udvarában található tó meder helyreállítása és csapadékcsatornába vezetése (Kormányhatározat alapján)</t>
  </si>
  <si>
    <t>Kismosó-patak meder rendezése (Kormányhatározat alapján)</t>
  </si>
  <si>
    <t>Gerlingen városától kapott támogatásból Tatai Nemzetközi Művészeti Csereprogramokra</t>
  </si>
  <si>
    <t>Tata Város Önkormányzat Képviselő-testülete 99/2018. (III.28.) Tata Kt. határozata Tatai Önkéntes Bűnmegelőző Polgárőr Egyesület támogatása</t>
  </si>
  <si>
    <t>Tata Város Önkormányzata 2018. évi költségvetéséhez</t>
  </si>
  <si>
    <t>a helyi önkormányzatok feladatainak állami támogatásához</t>
  </si>
  <si>
    <t>Jogcímek megnevezése</t>
  </si>
  <si>
    <t>Bevétel 2018. év</t>
  </si>
  <si>
    <t>2.mell. I.</t>
  </si>
  <si>
    <t>A HELYI ÖNKORMÁNYZATOK MŰKÖDÉSÉNEK ÁLTALÁNOS TÁMOGATÁSA</t>
  </si>
  <si>
    <t>I.1.a)</t>
  </si>
  <si>
    <t>fő</t>
  </si>
  <si>
    <t>Beszámítás után (Beszámítás a V. pontnál és a táblázat alatt részletezve)</t>
  </si>
  <si>
    <t>Önkormányzati Hivatal működésének támogatása beszámítás után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</si>
  <si>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</si>
  <si>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</si>
  <si>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</si>
  <si>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</si>
  <si>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</si>
  <si>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</si>
  <si>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</si>
  <si>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km</t>
  </si>
  <si>
    <t>I.1.bc)</t>
  </si>
  <si>
    <t>Köztemető fenntartással kapcsolatos feladatok támogatása</t>
  </si>
  <si>
    <t>m2</t>
  </si>
  <si>
    <t>I.1.bd)</t>
  </si>
  <si>
    <t>Közutak fenntartásának támogatása</t>
  </si>
  <si>
    <t>Település-üzemeltetéshez kapcsolódó feladatellátás támogatása összesen</t>
  </si>
  <si>
    <t>I.1.c)</t>
  </si>
  <si>
    <t>I.1.d)</t>
  </si>
  <si>
    <t>Lakott külterülettel kapcsolatos feladatok támogatása</t>
  </si>
  <si>
    <t>I.1.e)</t>
  </si>
  <si>
    <t>Üdülőhelyi feladatok támogatása</t>
  </si>
  <si>
    <t>id.f.adóft</t>
  </si>
  <si>
    <t>I.1.</t>
  </si>
  <si>
    <t>A települési önkormányzatok működésének támogatása beszámítás után</t>
  </si>
  <si>
    <t>I.5.</t>
  </si>
  <si>
    <t xml:space="preserve">A 2017. évről áthúzódó bérkompenzáció támogatása </t>
  </si>
  <si>
    <t>eredeti előirányzatként nem tervezhető</t>
  </si>
  <si>
    <t xml:space="preserve">A helyi önkormányzatok működésének általános támogatása 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</si>
  <si>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</si>
  <si>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</si>
  <si>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</si>
  <si>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</si>
  <si>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</si>
  <si>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</si>
  <si>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</si>
  <si>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</si>
  <si>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</si>
  <si>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II.2.a)</t>
  </si>
  <si>
    <t>Óvodaműk. támogatás 8 hónapra: gyermekek nevelése a napi 8 órát eléri</t>
  </si>
  <si>
    <t>Óvodaműk. támogatás 4 hónapra: gyermekek nevelése a napi 8 órát eléri</t>
  </si>
  <si>
    <t>II.2.b)</t>
  </si>
  <si>
    <t xml:space="preserve">Kiegészítő támogatás az óvodaműködtetési feladatokhoz </t>
  </si>
  <si>
    <t>II. 2.</t>
  </si>
  <si>
    <t>Óvodaműködtetési támogatás összesen</t>
  </si>
  <si>
    <t>II.4.</t>
  </si>
  <si>
    <t>Kiegészítő támogatás az óvodapedagógusok minősítéséből adódó többletkiadásokhoz</t>
  </si>
  <si>
    <t>- Teljes összeg, akik 2016. dec. 31-ig megszerezték. Alapfokú, Ped. II. kategóriába s.</t>
  </si>
  <si>
    <t>- 11 havi időarányos, akik 2018.01.01-jei átsorolással szerezték meg. Alapfokú, Ped.II. kateg. sorol.</t>
  </si>
  <si>
    <t>2.mell. II.</t>
  </si>
  <si>
    <t>A települési önkormányzatok egyes köznevelési feladatainak támogatása</t>
  </si>
  <si>
    <t>III.1.</t>
  </si>
  <si>
    <t>III.3.</t>
  </si>
  <si>
    <t>Egyes szociális és gyermekjóléti feladatok támogatása</t>
  </si>
  <si>
    <t>III.3.a)</t>
  </si>
  <si>
    <t>Család- és gyermekjóléti szolgálat (2015.01.01. lakosságszám alapján)</t>
  </si>
  <si>
    <t>III.3.b)</t>
  </si>
  <si>
    <t>Család- és gyermekjóléti központ (2015.01.01. lakosságszám alapján)</t>
  </si>
  <si>
    <t>III.3.c)</t>
  </si>
  <si>
    <t>Szociális étkeztetés - társulási kiegészítéssel (55 360 Ft fajlagos összeg 110 %-a)</t>
  </si>
  <si>
    <t>Társulási kiegészítés szociális étkeztetésre</t>
  </si>
  <si>
    <t>{60896}</t>
  </si>
  <si>
    <t>III.3.da)</t>
  </si>
  <si>
    <t>III.3.db)</t>
  </si>
  <si>
    <t>Társulási kiegészítés személyi gondozáshoz + fajlagos összeg 30%-a</t>
  </si>
  <si>
    <t>{429000}</t>
  </si>
  <si>
    <t>III.3.d)</t>
  </si>
  <si>
    <t>Házi segítségnyújtás - 2017. évben két jogcímen igényelhető támogatás össz.</t>
  </si>
  <si>
    <t>III.3.f)</t>
  </si>
  <si>
    <t>Időskorúak nappali intézményi ellátása</t>
  </si>
  <si>
    <t>Társulási kiegészítés időskorúak nappali ellátásához + fajlagos összeg 50%-a</t>
  </si>
  <si>
    <t>{163500}</t>
  </si>
  <si>
    <t>III.3.g)</t>
  </si>
  <si>
    <t xml:space="preserve">Fogyatékosok személyek nappali intézményi ellátása </t>
  </si>
  <si>
    <t>Társulási kiegészítés fogyatékosok nappali ellátásához + fajlagos összeg 10%-a</t>
  </si>
  <si>
    <t>{550000}</t>
  </si>
  <si>
    <t>III.3.i)</t>
  </si>
  <si>
    <t xml:space="preserve">Hajléktalanok nappali intézményi ellátása </t>
  </si>
  <si>
    <t>Társulási kiegészítés hajléktalanok nappali ellátásához + fajlagos összeg 20%-a</t>
  </si>
  <si>
    <t>{247320}</t>
  </si>
  <si>
    <t>III.3.k)</t>
  </si>
  <si>
    <t>Hajléktalanok átmeneti intézményei (átmeneti szállás, éjjeli menedékhely)</t>
  </si>
  <si>
    <t>fhely</t>
  </si>
  <si>
    <t>Társulási kiegészítés hajléktalanok éjjeli ellátásához + fajlagos összeg 10%-a</t>
  </si>
  <si>
    <t>{539000}</t>
  </si>
  <si>
    <t>III.3.l)</t>
  </si>
  <si>
    <t>Támogató szolgáltatás - alaptámogatás</t>
  </si>
  <si>
    <t>Támogató szolgáltatás - teljesítménytámogatás - személyi segítés</t>
  </si>
  <si>
    <t>felad.egység</t>
  </si>
  <si>
    <t>Támogató szolgáltatás - teljesítménytámogatás - szállításhoz személyi segítés max.50%</t>
  </si>
  <si>
    <t>III.3.m)</t>
  </si>
  <si>
    <t>Közösségi alapellátások - alaptámogatás</t>
  </si>
  <si>
    <t>Ft/év/szolgálat</t>
  </si>
  <si>
    <t>Közösségi alapellátások - teljesítménytámogatás</t>
  </si>
  <si>
    <t>Ft/feladategység</t>
  </si>
  <si>
    <t>III.3.n)</t>
  </si>
  <si>
    <t>Óvodai és iskolai szoc. segítő tevékenység támogatása (család- és gyjóléti központ útján)</t>
  </si>
  <si>
    <t>miniszteri döntés alapján 2018.08.15-ig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</si>
  <si>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</si>
  <si>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</si>
  <si>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</si>
  <si>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</si>
  <si>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</si>
  <si>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</si>
  <si>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</si>
  <si>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</si>
  <si>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</si>
  <si>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Finanszírozás szempontjából elismert dolgozók bértámogatása</t>
  </si>
  <si>
    <t>fő/év</t>
  </si>
  <si>
    <t>III.5.b)</t>
  </si>
  <si>
    <t xml:space="preserve">Gyermekétkeztetés üzemeltetési támogatása </t>
  </si>
  <si>
    <t>Gyermekétkeztetés támogatása összesen</t>
  </si>
  <si>
    <t>III.6.</t>
  </si>
  <si>
    <t xml:space="preserve">A rászoruló gyermekek intézményen kívüli szünidei étkeztetésének támogatása </t>
  </si>
  <si>
    <t>III.7. a)</t>
  </si>
  <si>
    <t>Felsőfőkú végzettségű kisgyermeknevelők, szaktanácsadók bértámogatása (szoc.hj.adóval)</t>
  </si>
  <si>
    <t>A finanszírozás szempontjából elismert szakmai dolgozók bértámogatása-középf.végzetts.</t>
  </si>
  <si>
    <t>III.7. b)</t>
  </si>
  <si>
    <t>Bölcsődei üzemeltetési támogatás</t>
  </si>
  <si>
    <t>III.7.</t>
  </si>
  <si>
    <t>Bölcsőde, mini bölcsőde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</si>
  <si>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</si>
  <si>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</si>
  <si>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</si>
  <si>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</si>
  <si>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</si>
  <si>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IV.1.d)</t>
  </si>
  <si>
    <t>Települési önk.nyilvános könyvtári és közműv. feladatainak támogatása</t>
  </si>
  <si>
    <t>IV.1.i)</t>
  </si>
  <si>
    <t>Települési önkormányzatok könyvtári célú érdekeltségnövelő támogatása</t>
  </si>
  <si>
    <t>IV.3.</t>
  </si>
  <si>
    <t>Kulturális illetménypótlék</t>
  </si>
  <si>
    <t>Kincstártól havonta pótelőirányzatként</t>
  </si>
  <si>
    <t>2.mell. IV.</t>
  </si>
  <si>
    <t>A települési önkormányzatok kulturális feladatainak támogatása</t>
  </si>
  <si>
    <t>V.</t>
  </si>
  <si>
    <t>BESZÁMÍTÁS</t>
  </si>
  <si>
    <t>Ft</t>
  </si>
  <si>
    <t>2.mell. V.</t>
  </si>
  <si>
    <t>Az elvonás a jogcímeknél beépítve</t>
  </si>
  <si>
    <t>2. melléklet jogcímeihez: ÁLLAMI TÁMOGATÁS BESZÁMÍTÁSSAL CSÖKKENTETT ÖSSZEGE</t>
  </si>
  <si>
    <t>2. melléklet V. Beszámításhoz új szabály további 45 % elvonás szolidaritási hjárulás címén</t>
  </si>
  <si>
    <t>2. melléklet jogcímeihez: ÁLLAMI TÁMOGATÁS ÖSSZESEN</t>
  </si>
  <si>
    <t>462/2017. (XII.28.) Korm.r. 7. melléklet: Bérkompenzáció</t>
  </si>
  <si>
    <t>ÁLLAMI TÁMOGATÁS MŰKÖDÉSRE</t>
  </si>
  <si>
    <t>ÁLLAMI TÁMOGATÁS FELHALMOZÁSRA</t>
  </si>
  <si>
    <t xml:space="preserve">                                </t>
  </si>
  <si>
    <t>Beszámítás kiszámítása sorrend szerint</t>
  </si>
  <si>
    <t>Beszámitás maximum összege: 343 354 893 Ft</t>
  </si>
  <si>
    <t>Csökkentések jogcímek szerint:</t>
  </si>
  <si>
    <t>Tata Város Önkormányzatának 2018. évi tartalékai (E Ft-ban)</t>
  </si>
  <si>
    <t>MŰKÖDÉSI TARTALÉK</t>
  </si>
  <si>
    <t>Általános tartalék</t>
  </si>
  <si>
    <t>Működési tartalék</t>
  </si>
  <si>
    <t>Működési céltartalék</t>
  </si>
  <si>
    <t>Működési céltartalék IGH részére</t>
  </si>
  <si>
    <t>FELHALMOZÁSI TARTALÉK</t>
  </si>
  <si>
    <t>Felhalmozási tartalék</t>
  </si>
  <si>
    <t>MINDÖSSZESEN</t>
  </si>
  <si>
    <t>Tata Város Önkormányzat Európai Uniós támogatással megvalósuló projektjei (E Ft-ban)*</t>
  </si>
  <si>
    <t>EU-s projekt neve</t>
  </si>
  <si>
    <t>Azonosítója</t>
  </si>
  <si>
    <t>Tata Építők parkjában városi zöld infrastruktúra fejlesztés</t>
  </si>
  <si>
    <t>TOP-2.1.2-15-KO1-2016-00002</t>
  </si>
  <si>
    <t>A tatai Kőfaragó-ház kézműves és aktív öktoturisztikai látogatóközpontként való rehabilitációja és a Kálvária-domb egységes turisztikai termékcsomagként való bemutatása</t>
  </si>
  <si>
    <t>TOP-1.2.1-15-KO1-2016-00005</t>
  </si>
  <si>
    <t>TOP-1.4.1-15-KO1-2016-00020</t>
  </si>
  <si>
    <t>A helyi gazdaság erőforrásaira épülő piac- és agrárlogisztikai fejlesztés Tatán</t>
  </si>
  <si>
    <t>TOP-1.1.3-15-KO1-2016-00003</t>
  </si>
  <si>
    <t>Helyi alapanyagokra épülő minőségi közétkeztetésért - iskolai konyhák hálózatos fejlesztése Tatán</t>
  </si>
  <si>
    <t>TOP-1.1.3-15-KO1-2016-00002</t>
  </si>
  <si>
    <t>Csatlakozási konstrukció az önkormányzati ASP rendszer országos kiterjesztéséhez</t>
  </si>
  <si>
    <t>KÖFOP-1.2.1-VEKOP-16-2017-01302</t>
  </si>
  <si>
    <t>SKHU/1601/1.1/209</t>
  </si>
  <si>
    <t>SKHU/1601/2.2.1/109</t>
  </si>
  <si>
    <t>Nők munkaerő-piaci támogatása Tatán (a Tatai Közös Hivatal pályázata)</t>
  </si>
  <si>
    <t>EFOP-1.2.9-17-2017-00026</t>
  </si>
  <si>
    <t>A tatai Szivárvány Óvoda épületenergetikai megújítása</t>
  </si>
  <si>
    <t>TOP-3.2.1-16-KO1-2017-00007</t>
  </si>
  <si>
    <t>TOP-3.2.1-16-KO1-2017-00001</t>
  </si>
  <si>
    <t>Angolkert Malomkert – Angolkerti rehabilitáció III. üteme</t>
  </si>
  <si>
    <t>TOP-1.2.1-16-KO1-2017-00003</t>
  </si>
  <si>
    <t>TOP-3.1.1-16-KE1-2017-00004</t>
  </si>
  <si>
    <t>TOP-5.3.1-16-KO1-2017-00002</t>
  </si>
  <si>
    <t>Inkubátorház építése Tatán</t>
  </si>
  <si>
    <t>TOP-1.1.2-16-KO1-2017-00002</t>
  </si>
  <si>
    <t>EFOP-1.5.2-16-2017-00043</t>
  </si>
  <si>
    <t>A jövő nemzedék közösség és személyiség fejlesztése Tatán</t>
  </si>
  <si>
    <t>EFOP-3.3.2-16-2016-00195</t>
  </si>
  <si>
    <t>Programok az életen át tartó tanulás jegyében Tatán</t>
  </si>
  <si>
    <t>EFOP-3.7.3-16-2017-00254</t>
  </si>
  <si>
    <t>EFOP-4.1.7-16-2017-00181</t>
  </si>
  <si>
    <t>Könyvtárfejlesztés Tatán</t>
  </si>
  <si>
    <t>EFOP-4.1.8-16-2017-00080</t>
  </si>
  <si>
    <t>Bölcsődei szakemberek szakmai fejlesztése a Tatai járásban</t>
  </si>
  <si>
    <t>EFOP-1.9.9-17-2017-00006</t>
  </si>
  <si>
    <t>Megvalósítás
tervezett
befejezése</t>
  </si>
  <si>
    <t>2017. évi felhalmozási maradvány</t>
  </si>
  <si>
    <t>2018.
Eredeti</t>
  </si>
  <si>
    <t>ÖNKORMÁNYZATI TÁMOGATÁSOK MINDÖSSZESEN</t>
  </si>
  <si>
    <t>KÖZÖS ÖNKORMÁNYZATI HIVATALI TÁMOGATÁSOK MINDÖSSZESEN</t>
  </si>
  <si>
    <t>KÖZÖS ÖNKORMÁNYZATI HIVATALI TÁMOGATÁSOK ÉS ÁTVETT PÉNZESZKÖZÖK MINDÖSSZESEN</t>
  </si>
  <si>
    <t>ÖNKORMÁNYZATI TÁMOGATÁSOK ÉS ÁTVETT PÉNZESZKÖZÖK MINDÖSSZESEN</t>
  </si>
  <si>
    <t>Saját be-
vételek
össze-
sen</t>
  </si>
  <si>
    <t>Áru és
készlet-
értéke-
sítés</t>
  </si>
  <si>
    <t>Szol-
gál-
tatás</t>
  </si>
  <si>
    <t>Közve-
tített
szol-
gáltatás</t>
  </si>
  <si>
    <t>Támogatásér-
tékű bevétel</t>
  </si>
  <si>
    <t>műkö-
dési
célra</t>
  </si>
  <si>
    <t>felhal-
mozási
célra</t>
  </si>
  <si>
    <t>Felhal-
mozási
bevé-
telek</t>
  </si>
  <si>
    <t>Marad-
vány</t>
  </si>
  <si>
    <t>Személyi
juttatások</t>
  </si>
  <si>
    <t>Önkormányzatok és önkormányzati hivatalok jogalkotó és általános igazgatási tevékenysége (Maradvány)</t>
  </si>
  <si>
    <t>Tata Város Önkormányzatának maradvány igénybevétele cél szerinti tagolásban (E Ft-ban) (költségvetési szervek nélkül)</t>
  </si>
  <si>
    <t>2017. évi működési maradvány</t>
  </si>
  <si>
    <t>Összesen
Eredeti</t>
  </si>
  <si>
    <t>Tatai Közös
Önkormányzati Hivatal</t>
  </si>
  <si>
    <t>Beruházás (ÁFA-val)</t>
  </si>
  <si>
    <t>Felújítás (ÁFA-val)</t>
  </si>
  <si>
    <t>Előző évi költségvetési maradvány igénybevétele</t>
  </si>
  <si>
    <t>Elvonások és befizetések bevételei</t>
  </si>
  <si>
    <t>Adó- és egyéb bírság</t>
  </si>
  <si>
    <t>Kamatbevétel, árfolyamnyereség</t>
  </si>
  <si>
    <t>Egyéb tárgyi eszközök értékesítése</t>
  </si>
  <si>
    <t>Mód. (IX. 26.)</t>
  </si>
  <si>
    <t>Összesen Mód. (IX.26.)</t>
  </si>
  <si>
    <t xml:space="preserve">     ebből zárolt:</t>
  </si>
  <si>
    <t>Tatai Kenderke Alapítvány támogatása</t>
  </si>
  <si>
    <t>Vaszary Alapítvány támogatása</t>
  </si>
  <si>
    <t>Magyar Labdarúgó Szövetség defibrillátor pályázatához</t>
  </si>
  <si>
    <t>Tatai Önkéntes Bűnmegelőző Polgárőr Egyesület 2018. évi támogatása</t>
  </si>
  <si>
    <t>Cirmos Cica Alapítvány támogatása</t>
  </si>
  <si>
    <t>Magyar Máltai Szeretetszolgálat Tatai Csoportja</t>
  </si>
  <si>
    <t>Magyar Vöröskereszt Tatai Szervezete</t>
  </si>
  <si>
    <t>Oktatási és Kulturális Alap</t>
  </si>
  <si>
    <t>Egészségvédelmi, Szociális és Sport Alap</t>
  </si>
  <si>
    <t>Jázmin Alapítvány</t>
  </si>
  <si>
    <t>Hódysport Egyesület</t>
  </si>
  <si>
    <t>Tatai Sportegyesület</t>
  </si>
  <si>
    <t>Kéz a Kézben Alapítvány támogatás</t>
  </si>
  <si>
    <t>Országos Mentőszolgálat Alapítvány támogatása</t>
  </si>
  <si>
    <t>Kőkúti Sasok Diák Sportegyesület</t>
  </si>
  <si>
    <t>Városi Nyugdíjas Klub</t>
  </si>
  <si>
    <t>Honvéd Bajtársi Klub Tata</t>
  </si>
  <si>
    <t>Szociális Háló Közalapítvány</t>
  </si>
  <si>
    <t>OMS-Tata Vívó Sport Egyesület (általános tartalékból 1 000 E Ft)</t>
  </si>
  <si>
    <t>Egressy Kórus Tata Alapítvány (általános tartalékból)</t>
  </si>
  <si>
    <t>Kőkúti Képességfejlesztő Alapítvány (általános tartalékból)</t>
  </si>
  <si>
    <t>Tatai Mecénás Közalapítvány (általános tartalékból)</t>
  </si>
  <si>
    <t>Szociális Alapellátó Intézmény</t>
  </si>
  <si>
    <t>Eötvös József Gimnázium</t>
  </si>
  <si>
    <t>Tatabányai Szakképzési Centrum (Bláthy napok és sportnap támogatása)</t>
  </si>
  <si>
    <t>Felhalmozási célú támogatások államháztartáson belülre (vissza nem térítendő)</t>
  </si>
  <si>
    <t>Komárom-Esztergom Megyei Önkormányzat (Sacra Velo interreg V-A projekt)</t>
  </si>
  <si>
    <t>Tata-Agostyán település közötti kerékpárút "Kanyon" útépítési, engedélyezési terve, idegen tulajdonú területrészek megszerzése</t>
  </si>
  <si>
    <t>Piarista rendház kiviteli terve (II. ütem) tűzvédelmi beruházás költségei</t>
  </si>
  <si>
    <t>Fényes fürdő területén 4/2 megjelölésű felépítmény (pavilon) megvásárlása</t>
  </si>
  <si>
    <t>Peron Music Könnyűzenei Tehetséggondozó és Képző Központ létrehozása Tatán EFOP-4.1.7-16-2017-00181 pályázat</t>
  </si>
  <si>
    <t>Tatai Rend-ház Kft. alapítása</t>
  </si>
  <si>
    <t>Tata, Várárok vízfólyásaihoz zsilipdeszkák és halrácsok gyártása</t>
  </si>
  <si>
    <t>Lidl Magyarország Betéti Társaság</t>
  </si>
  <si>
    <t>Tárgyi eszközök beszerzés  (16 db Apple iPad és tok)</t>
  </si>
  <si>
    <t>Tárgyi eszköz beszerzés (Fischerház galériasín)</t>
  </si>
  <si>
    <t>Közfoglalkoztatás (pályázat) tárgyi eszköz beszerzés</t>
  </si>
  <si>
    <t>Bölcsődei szakemberek szakmai fejlesztése a Tatai járásban EFOP-1.9.9-17-2017-00006</t>
  </si>
  <si>
    <t>Inkubátorház építése Tatán TOP-1.1.2-16-KO1-2017-00002</t>
  </si>
  <si>
    <t>Programok az életen át tartó tanulás jegyében Tatán EFOP-3.7.3-16-2017-00254</t>
  </si>
  <si>
    <t>Humán szolgáltatások fejlesztése a Magyary Zoltán mintajárásban EFOP-1.5.2-16-2017-00043</t>
  </si>
  <si>
    <t>A jövő nemzedék közösség és személyiség fejlesztése Tatán EFOP-3.3.2-16-2016-00195</t>
  </si>
  <si>
    <t>Könyvtárfejlesztés Tatán EFOP-4.1.8-16-2017-00080</t>
  </si>
  <si>
    <t>Vaszary Villa kisértékű tárgyi eszköz beszerzés</t>
  </si>
  <si>
    <t>Tata, 1841 hrsz-ú ingatlanból 1729 m2 terület vásárlása, csereszerződés</t>
  </si>
  <si>
    <t>Tata, 1979/37 hrsz-ú ingatlanból 684 m2 terület vásárlása, csereszerződés</t>
  </si>
  <si>
    <t>Tata, Bacsó Béla lakótelep 18. társasház mellett parkolóépítés</t>
  </si>
  <si>
    <t>Tata, Csongor utca közvilágítás megtervezése</t>
  </si>
  <si>
    <t>Hulladéktárolók vásárlása (3 db)</t>
  </si>
  <si>
    <t>Közösségi Felsőoktatási Képzési Központ - tárgyi eszközök beszerzése</t>
  </si>
  <si>
    <t>Tata, Alkotmány utcában parkolóépítés</t>
  </si>
  <si>
    <t>Hajdú utcai útburkolat felújítása</t>
  </si>
  <si>
    <t>Fényes fürdő területén üdülőház nyílászáró cseréje</t>
  </si>
  <si>
    <t>Központi orvosi ügyelet működtetése</t>
  </si>
  <si>
    <t>Közfoglalkoztatási programokhoz kapcsolódó felhalmozási támogatás</t>
  </si>
  <si>
    <t>Helyi identitás és kohézió erősítése Tata és környéke borvidéken TOP-5.3.1-16-KO1-2017-00002</t>
  </si>
  <si>
    <t>Fenntartható települési közlekedésfejlesztés TOP-3.1.1-16 kódszámú pályázat</t>
  </si>
  <si>
    <t>Társadalmi és környezeti szempontból fenntartható turizmusfejlesztés TOP-1.2.1-16 kódszámú pályázat</t>
  </si>
  <si>
    <t>A tatai Szivárvány Óvoda épületenergetikai megújítása című, TOP-3.2.1-16-KO1-2017-00007 azonosítószámú nyertes pályázat</t>
  </si>
  <si>
    <t>Energetikai korszerűsítés a Tatai Kertvárosi Óvodában című, TOP-3.2.1-16-KO1-2017-00001 azonosítószámú nyertes pályázat</t>
  </si>
  <si>
    <t>Nők a családban és a munkahelyen EFOP-1.2.9-17 kódszámú pályázat</t>
  </si>
  <si>
    <t>Humán szolgáltatások fejlesztése térségi szemléletben EFOP-1.5.2-16 kódszámú pályázat</t>
  </si>
  <si>
    <t>Könyvtári intézményrendszer tanulást segítő infrastrukturális fejlesztései EFOP-4.1.8-16 kódszámú pályázat</t>
  </si>
  <si>
    <t>Kormányhatározat alapján kapott támogatás</t>
  </si>
  <si>
    <t>Országgyűlési választásokon résztvevő bizottsági tagok munkabér térítése</t>
  </si>
  <si>
    <t>Szerverszoba klímájának cseréje</t>
  </si>
  <si>
    <t>Működési tartalékba helyezendő maradvány</t>
  </si>
  <si>
    <t>Tartalék</t>
  </si>
  <si>
    <t>Kárté-rítés</t>
  </si>
  <si>
    <t>Tatai Kertvárosi Óvoda kisértékű tárgyi eszk.</t>
  </si>
  <si>
    <t>Tatai Geszti Óvoda skytec hangrendszer</t>
  </si>
  <si>
    <t>Intézmények Gazdasági Hivatala számítástechnikai eszközök, programok</t>
  </si>
  <si>
    <t>Intézmények Gazdasági Hivatala kisértékű tárgyi eszközök</t>
  </si>
  <si>
    <t>Intézmények Gazdasági Hivatala Kőkúti Iskola Tanuszoda (hajszárító 3 db)</t>
  </si>
  <si>
    <t>Kuny Domokos Múzeum számítástechnikai eszköz: laptop</t>
  </si>
  <si>
    <t>Kuny Domokos Múzeum (infrastruktúra bővítés)</t>
  </si>
  <si>
    <t>Tatai Csillagsziget Bölcsőde folyosó és előterek burkolatának cseréje</t>
  </si>
  <si>
    <t>Összes
forrás</t>
  </si>
  <si>
    <t>Összes forrásból:</t>
  </si>
  <si>
    <t>Összes
kiadás</t>
  </si>
  <si>
    <t>Tárgyévben
érkező EU-s
támogatás
előirányzata</t>
  </si>
  <si>
    <t>Tárgyévi
kiadások
előirányzata</t>
  </si>
  <si>
    <t>Önerő</t>
  </si>
  <si>
    <t>EU-s forrás támogatási szerződés szerint</t>
  </si>
  <si>
    <t>Munkaügyi Központtól kapott támogatás</t>
  </si>
  <si>
    <t>3. melléklet I. 5. települési önkormányzatok helyi közösségi közlekedésének támogatása</t>
  </si>
  <si>
    <t>Mód. (XI. 28.)</t>
  </si>
  <si>
    <t>Mód.
(XI. 28.)</t>
  </si>
  <si>
    <t>Kerekítés</t>
  </si>
  <si>
    <t>Mód. (XI.28.)</t>
  </si>
  <si>
    <t>Mód.(XI. 28.)</t>
  </si>
  <si>
    <t>Rendszeres gyermekvédelmi támogatás (Erzsébet utalvány)</t>
  </si>
  <si>
    <t>Szűz Mária szobor karbantartására kapott támogatás</t>
  </si>
  <si>
    <t>2018. évi nyári diákmunka támogatása</t>
  </si>
  <si>
    <t>Színes Iskola Alapítvány</t>
  </si>
  <si>
    <t>Tatai Református Egyházközség Flóris Benő szobor helyreállítása (általános tartalékból)</t>
  </si>
  <si>
    <t>Tatai Sporthorgász és Környezetvédő Egyesület (általános tartalékból)</t>
  </si>
  <si>
    <t>Jászai Mari Színház Népház támogatása</t>
  </si>
  <si>
    <t>Pons Danubii támogatása</t>
  </si>
  <si>
    <t>Mátyás király emlékév - emléktábla (általános tartalékból)</t>
  </si>
  <si>
    <t>Bercsényi u. 1. fűtése</t>
  </si>
  <si>
    <t>Tatai Csillagsziget Bölcsőde árnyékoló</t>
  </si>
  <si>
    <t>Tatai Csillagsziget Bölcsőde nagy értékű konyhai eszközök, kisértékű eszközök</t>
  </si>
  <si>
    <t>Tatai Kincseskert Óvoda udvarra kerítés építés</t>
  </si>
  <si>
    <t>Tatai Geszti Óvoda szekrények</t>
  </si>
  <si>
    <t>Kuny Domokos Múzeum ásatási eszközök</t>
  </si>
  <si>
    <t>Magyary Zoltán Művelődési Központ tetőszerkezetének felújítása</t>
  </si>
  <si>
    <t>Katona-köz csapadékvíz elvezetés</t>
  </si>
  <si>
    <t>2018. Mód.
(XI. 28.)</t>
  </si>
  <si>
    <t>Mód.
(XI.28.)</t>
  </si>
  <si>
    <t>Mód. (II.  .)</t>
  </si>
  <si>
    <t>Mód. (II.   .)</t>
  </si>
  <si>
    <t>Mód. (II. 28.)</t>
  </si>
  <si>
    <t>Mód.
(II.  .)</t>
  </si>
  <si>
    <t>Tatai Rend-ház Kft.-nek pótbefizetés veszteség kiegyenlítésére</t>
  </si>
  <si>
    <t>Központi kezelésű előirányzatnak visszaküldött gyermekvédelmi Erzsébet-utalvány</t>
  </si>
  <si>
    <t>Rákóczi Szövetségnek szőgyéni tanulók támogatásához</t>
  </si>
  <si>
    <t>Regulaiy Rallye Egyesület</t>
  </si>
  <si>
    <t>Bethlen Gábor Alapkezelő Zrt.-től "Anyanyelvőrző diákok tati találkozója a nemzeti összetartozás jegyében" program támogatása</t>
  </si>
  <si>
    <t>Magyarországi Zsidó Öröség Közalapítványtól temető rekonstukcióra</t>
  </si>
  <si>
    <t xml:space="preserve">Malom-patak mederrendezéshez fedezet </t>
  </si>
  <si>
    <t>Zsidó temetők rekonstrukciós programja</t>
  </si>
  <si>
    <t>Mód.
(II.27.)</t>
  </si>
  <si>
    <t>Mód. (II.27.)</t>
  </si>
  <si>
    <t>Mód.(II.27.)</t>
  </si>
  <si>
    <t>Mód. (II. 27.)</t>
  </si>
  <si>
    <t>Kossuth tér 1. ingatlan díszterem főfalára falikép</t>
  </si>
  <si>
    <t>LAC005 nyári gumi beszerzés</t>
  </si>
  <si>
    <t>KOMTEM Kft. Akadálymentesített wc kialakítása</t>
  </si>
  <si>
    <t>Műfüves labdarúgó pálya építéséhez beruházási előleg</t>
  </si>
  <si>
    <t>Téli rezsicsökkentéshez támogatás</t>
  </si>
  <si>
    <t>Mód.
(II. 27.)</t>
  </si>
  <si>
    <t>Mód.
(II.  27.)</t>
  </si>
  <si>
    <t>Gépkocsihoz fellépő zsámoly</t>
  </si>
  <si>
    <t>Mód. (II.  27.)</t>
  </si>
  <si>
    <t>104 051</t>
  </si>
  <si>
    <t>Gyermekvédelmi pénzbeli és természetbeni ellátások</t>
  </si>
  <si>
    <t>Törvény- javaslat hivatk.sz.</t>
  </si>
  <si>
    <t>Mutató áprilisi előirányzathoz</t>
  </si>
  <si>
    <t>Mutató szeptemberi előirányzathoz</t>
  </si>
  <si>
    <t>Fajlagos összeg Ft/mutató</t>
  </si>
  <si>
    <t>Szociális ágazati pótlék (MÁK adja pótelőirányzatként)</t>
  </si>
  <si>
    <t>csak a 32000 adóerő alattiaknak</t>
  </si>
  <si>
    <t xml:space="preserve">Megyei hatókörű városi múzeumok feladatainak támogatása </t>
  </si>
  <si>
    <t>3. melléklet I.10.a) Rendkívüli önkormányzati támogatás: hajléktalanszállók meghosszabbított nyitvatartási ideje miatti többletköltség támogatása</t>
  </si>
  <si>
    <t>Téli rezsicsökkentésben korábban nem részesült háztartások egyszeri támogatása</t>
  </si>
  <si>
    <t>Bölcsődei kiegészítő támogatás/banki utalással</t>
  </si>
  <si>
    <t xml:space="preserve">Állami adóhatóság felé teljesítendő befizetési kötelezettségre állami támogatás </t>
  </si>
  <si>
    <t>3. melléklet III. Vis maior: Környei úti temető helyreállítása</t>
  </si>
  <si>
    <t>Tata Város támogatása: karsztvízszint emelkedés okozta azonnali intézkedést igénylő feladatok támogatása</t>
  </si>
  <si>
    <t>3. melléklet II.4.b) Járásszékhely múzeumok szakmai támogatása</t>
  </si>
  <si>
    <r>
      <t xml:space="preserve">2018. Eredeti előirányzat      </t>
    </r>
    <r>
      <rPr>
        <sz val="11"/>
        <color theme="1"/>
        <rFont val="Calibri"/>
        <family val="2"/>
        <scheme val="minor"/>
      </rPr>
      <t xml:space="preserve"> E Ft-ban</t>
    </r>
  </si>
  <si>
    <r>
      <t xml:space="preserve">2018. áprilisi módosított előirányzat      </t>
    </r>
    <r>
      <rPr>
        <sz val="11"/>
        <color theme="1"/>
        <rFont val="Calibri"/>
        <family val="2"/>
        <scheme val="minor"/>
      </rPr>
      <t xml:space="preserve"> E Ft-ban</t>
    </r>
  </si>
  <si>
    <r>
      <t xml:space="preserve">2018. szeptemberi módosított előirányzat      </t>
    </r>
    <r>
      <rPr>
        <sz val="11"/>
        <color theme="1"/>
        <rFont val="Calibri"/>
        <family val="2"/>
        <scheme val="minor"/>
      </rPr>
      <t xml:space="preserve"> E Ft-ban</t>
    </r>
  </si>
  <si>
    <r>
      <t xml:space="preserve">2018. novemberi módosított előirányzat      </t>
    </r>
    <r>
      <rPr>
        <sz val="11"/>
        <color theme="1"/>
        <rFont val="Calibri"/>
        <family val="2"/>
        <scheme val="minor"/>
      </rPr>
      <t xml:space="preserve"> E Ft-ban</t>
    </r>
  </si>
  <si>
    <r>
      <t xml:space="preserve">2018. évre 2019. febr. módosított előirányzat     </t>
    </r>
    <r>
      <rPr>
        <sz val="10"/>
        <rFont val="Times New Roman CE"/>
        <family val="2"/>
      </rPr>
      <t xml:space="preserve"> </t>
    </r>
    <r>
      <rPr>
        <sz val="12"/>
        <rFont val="Calibri"/>
        <family val="2"/>
        <scheme val="minor"/>
      </rPr>
      <t>E Ft-ban</t>
    </r>
  </si>
  <si>
    <r>
      <t>Áprilisi módosított Előirányzat</t>
    </r>
    <r>
      <rPr>
        <b/>
        <sz val="12"/>
        <color theme="1"/>
        <rFont val="Calibri"/>
        <family val="1"/>
        <scheme val="minor"/>
      </rPr>
      <t xml:space="preserve">           </t>
    </r>
    <r>
      <rPr>
        <b/>
        <sz val="16"/>
        <color indexed="10"/>
        <rFont val="Calibri"/>
        <family val="2"/>
        <scheme val="minor"/>
      </rPr>
      <t>Ft-ban</t>
    </r>
  </si>
  <si>
    <r>
      <t>Szeptemberi módosított Előirányzat</t>
    </r>
    <r>
      <rPr>
        <b/>
        <sz val="12"/>
        <color theme="1"/>
        <rFont val="Calibri"/>
        <family val="1"/>
        <scheme val="minor"/>
      </rPr>
      <t xml:space="preserve">           </t>
    </r>
    <r>
      <rPr>
        <b/>
        <sz val="16"/>
        <color indexed="10"/>
        <rFont val="Calibri"/>
        <family val="2"/>
        <scheme val="minor"/>
      </rPr>
      <t>Ft-ban</t>
    </r>
  </si>
  <si>
    <r>
      <t>novemberi módosított Előirányzat</t>
    </r>
    <r>
      <rPr>
        <b/>
        <sz val="12"/>
        <color theme="1"/>
        <rFont val="Calibri"/>
        <family val="1"/>
        <scheme val="minor"/>
      </rPr>
      <t xml:space="preserve">           </t>
    </r>
    <r>
      <rPr>
        <b/>
        <sz val="16"/>
        <color indexed="10"/>
        <rFont val="Calibri"/>
        <family val="2"/>
        <scheme val="minor"/>
      </rPr>
      <t>Ft-ban</t>
    </r>
  </si>
  <si>
    <r>
      <t>2019. februári módosított Előirányzat</t>
    </r>
    <r>
      <rPr>
        <b/>
        <sz val="12"/>
        <color theme="1"/>
        <rFont val="Calibri"/>
        <family val="1"/>
        <scheme val="minor"/>
      </rPr>
      <t xml:space="preserve">           </t>
    </r>
    <r>
      <rPr>
        <b/>
        <sz val="16"/>
        <color indexed="10"/>
        <rFont val="Calibri"/>
        <family val="2"/>
        <scheme val="minor"/>
      </rPr>
      <t>Ft-ban</t>
    </r>
  </si>
  <si>
    <r>
      <t>Önkormányzati Hivatal működésének támogatása (</t>
    </r>
    <r>
      <rPr>
        <sz val="12"/>
        <color rgb="FF0066FF"/>
        <rFont val="Calibri"/>
        <family val="2"/>
        <scheme val="minor"/>
      </rPr>
      <t>Közös Hiv. 26.736 fő lakos</t>
    </r>
    <r>
      <rPr>
        <sz val="11"/>
        <color theme="1"/>
        <rFont val="Calibri"/>
        <family val="2"/>
        <scheme val="minor"/>
      </rPr>
      <t>)</t>
    </r>
  </si>
  <si>
    <r>
      <t>Egyéb önkormányzati feladat támogatása (</t>
    </r>
    <r>
      <rPr>
        <sz val="12"/>
        <color rgb="FF0066FF"/>
        <rFont val="Calibri"/>
        <family val="2"/>
        <scheme val="minor"/>
      </rPr>
      <t>adóerőképesség 1 lakosra 41.602 Ft</t>
    </r>
    <r>
      <rPr>
        <sz val="11"/>
        <color theme="1"/>
        <rFont val="Calibri"/>
        <family val="2"/>
        <scheme val="minor"/>
      </rPr>
      <t>)</t>
    </r>
  </si>
  <si>
    <r>
      <t xml:space="preserve">Házi segítségnyújtáshoz </t>
    </r>
    <r>
      <rPr>
        <b/>
        <i/>
        <sz val="12"/>
        <color theme="1"/>
        <rFont val="Calibri"/>
        <family val="2"/>
        <scheme val="minor"/>
      </rPr>
      <t>Szociális segítés</t>
    </r>
  </si>
  <si>
    <r>
      <t xml:space="preserve">Házi segítségnyújtáshoz </t>
    </r>
    <r>
      <rPr>
        <b/>
        <i/>
        <sz val="12"/>
        <color theme="1"/>
        <rFont val="Calibri"/>
        <family val="2"/>
        <scheme val="minor"/>
      </rPr>
      <t>Személyi gondozás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</si>
  <si>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Önkormányzat elvárt bevétele: </t>
    </r>
    <r>
      <rPr>
        <b/>
        <sz val="12"/>
        <color theme="1"/>
        <rFont val="Calibri"/>
        <family val="1"/>
        <scheme val="minor"/>
      </rPr>
      <t xml:space="preserve">2016.évi </t>
    </r>
    <r>
      <rPr>
        <sz val="11"/>
        <color theme="1"/>
        <rFont val="Calibri"/>
        <family val="2"/>
        <scheme val="minor"/>
      </rPr>
      <t>iparűzési adóalap 0,55 %-a</t>
    </r>
  </si>
  <si>
    <r>
      <t xml:space="preserve">Differenciálás: </t>
    </r>
    <r>
      <rPr>
        <b/>
        <sz val="12"/>
        <color theme="1"/>
        <rFont val="Calibri"/>
        <family val="1"/>
        <scheme val="minor"/>
      </rPr>
      <t>Támogatás csökkentés 100 % lenne</t>
    </r>
    <r>
      <rPr>
        <sz val="11"/>
        <color theme="1"/>
        <rFont val="Calibri"/>
        <family val="2"/>
        <scheme val="minor"/>
      </rPr>
      <t xml:space="preserve"> az adóerő-képesség miatt, de közös hivatal székhelye miatt 10 %-kal csökkenthető, ezért 90 % a támogatás csökkentés.</t>
    </r>
  </si>
  <si>
    <r>
      <t xml:space="preserve">Támogatás csökkentés a következő </t>
    </r>
    <r>
      <rPr>
        <b/>
        <sz val="12"/>
        <color theme="1"/>
        <rFont val="Calibri"/>
        <family val="1"/>
        <scheme val="minor"/>
      </rPr>
      <t>sorrend szerint</t>
    </r>
    <r>
      <rPr>
        <sz val="11"/>
        <color theme="1"/>
        <rFont val="Calibri"/>
        <family val="2"/>
        <scheme val="minor"/>
      </rPr>
      <t xml:space="preserve"> I.1.c), I.1.d), I.1.e), I.1.ba),  I.1.bb),  I.1.bc),  I.1.bd),  I.1.a) támogatás összegéig terheli az önkormányzatot.</t>
    </r>
  </si>
  <si>
    <t>A közösségi művelődési intézmény- és szervezetrendszer tanulást segítő infrastrukturális fejlesztései EFOP-4.1.7-16-2017-00181 pályázat</t>
  </si>
  <si>
    <t>Iparűzési adóból</t>
  </si>
  <si>
    <t>2018. Mód.
(II. 27.)</t>
  </si>
  <si>
    <t>Összesen Mód. (II.27.)</t>
  </si>
  <si>
    <t>*Adatok forrása: pályázati szintű projektanalitikák, benyújtott pályázatok és megkötött támogatási szerződések</t>
  </si>
  <si>
    <t>Helyi identitás és kohézió erősítése Tata és környéke Borvidéken</t>
  </si>
  <si>
    <t>Tatai Kertvárosi Óvoda épületenergetikai megújítása</t>
  </si>
  <si>
    <t>Haranglábtól- Agostyánig, Tata Országgyűlés tértől Agostyán városrészig létesítendő kerékpárút I. ütem</t>
  </si>
  <si>
    <t>Határidő
módosítás
folyamatban</t>
  </si>
  <si>
    <t>Csillagsziget Bölcsőde felújítása Tatán</t>
  </si>
  <si>
    <t>Magyarország Együttműködési program KOMBI - Határon átnyúló integrált kerékpárkölcsönző rendszer - Interreg V-A Szlovákia</t>
  </si>
  <si>
    <t>Magyarország Együttműködési program CULTPLAY - Interaktív tematikus parkok létrehozása - Interreg V-A Szlovákia</t>
  </si>
  <si>
    <t>A közösségi művelődési intézmény- és szervezetrendszer tanulást segítő infrastrukturális fejlesztései</t>
  </si>
  <si>
    <t>Humán szolgáltatások fejlesztése Magyary Zoltán mintajárásban</t>
  </si>
  <si>
    <t>Támogatási
szerződés
kötés
időpontja</t>
  </si>
  <si>
    <t>Tatai Geszti Óvoda bojler</t>
  </si>
  <si>
    <t>Tatai Egészségügyi Alapellátó Intézmény Család- és növényvédelem: csecsemőmérleg táskával</t>
  </si>
  <si>
    <t>Kuny Domokos Múzeum Immateriális javak</t>
  </si>
  <si>
    <t>Költségvetési  alcímek és szakfeladatok ÖSSZESEN</t>
  </si>
  <si>
    <t>Mód. (XI. 27.)</t>
  </si>
  <si>
    <t>Mód. (II. 27 .)</t>
  </si>
  <si>
    <t>Mód. (II.27 .)</t>
  </si>
  <si>
    <t>1. Mód: 8/2018.(IV.25.)önk.rend. 2.§. Hat: 2018. IV. 30.napjától</t>
  </si>
  <si>
    <t>2. Mód: 18/2018.(IX.26.)önk.rend. 2.§. Hat: 2018. IX. 28. napjától</t>
  </si>
  <si>
    <t>3. Mód: 24/2018(XI.29.)önk.rend. 2.§. Hat:2018. XI.29. napjától</t>
  </si>
  <si>
    <t>4. Mód: 2/2019(II.27.) önk. rend. 2.§. Hat: 2018.02.28. napjától</t>
  </si>
  <si>
    <t>27/2017 (XII.21.) önk.rend. Hat: 2018.01.01. napjától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</si>
</sst>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"/>
    <numFmt numFmtId="165" formatCode="[$-40E]General"/>
    <numFmt numFmtId="166" formatCode="[$-40E]#,##0"/>
    <numFmt numFmtId="167" formatCode="_-* #,##0.00\ _F_t_-;\-* #,##0.00\ _F_t_-;_-* \-??\ _F_t_-;_-@_-"/>
    <numFmt numFmtId="168" formatCode="#,##0_ ;\-#,##0\ "/>
    <numFmt numFmtId="169" formatCode="0.0"/>
    <numFmt numFmtId="170" formatCode="#,##0.0"/>
  </numFmts>
  <fonts count="6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name val="Times New Roman CE"/>
      <family val="1"/>
    </font>
    <font>
      <sz val="11"/>
      <color theme="1"/>
      <name val="Times New Roman CE"/>
      <family val="2"/>
    </font>
    <font>
      <sz val="11"/>
      <name val="Times New Roman CE"/>
      <family val="2"/>
    </font>
    <font>
      <i/>
      <sz val="11"/>
      <name val="Times New Roman CE"/>
      <family val="2"/>
    </font>
    <font>
      <sz val="11"/>
      <color theme="1"/>
      <name val="Times New Roman"/>
      <family val="1"/>
    </font>
    <font>
      <sz val="10"/>
      <name val="Arial C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 CE"/>
      <family val="1"/>
    </font>
    <font>
      <b/>
      <u val="single"/>
      <sz val="11"/>
      <name val="Times New Roman CE"/>
      <family val="1"/>
    </font>
    <font>
      <b/>
      <i/>
      <sz val="1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 CE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name val="Times New Roman CE"/>
      <family val="2"/>
    </font>
    <font>
      <sz val="11"/>
      <color rgb="FF000000"/>
      <name val="Times New Roman1"/>
      <family val="2"/>
    </font>
    <font>
      <b/>
      <sz val="11"/>
      <color rgb="FF000000"/>
      <name val="Times New Roman1"/>
      <family val="2"/>
    </font>
    <font>
      <sz val="10"/>
      <color theme="1"/>
      <name val="Arial CE"/>
      <family val="2"/>
    </font>
    <font>
      <sz val="11"/>
      <color rgb="FF1C1C1C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  <font>
      <b/>
      <i/>
      <sz val="11"/>
      <color theme="1"/>
      <name val="Times New Roman"/>
      <family val="1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u val="single"/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 CE"/>
      <family val="1"/>
    </font>
    <font>
      <sz val="10"/>
      <color theme="1"/>
      <name val="Calibri"/>
      <family val="2"/>
      <scheme val="minor"/>
    </font>
    <font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 CE"/>
      <family val="2"/>
    </font>
    <font>
      <sz val="10"/>
      <name val="Times New Roman CE"/>
      <family val="2"/>
    </font>
    <font>
      <sz val="12"/>
      <name val="Calibri"/>
      <family val="2"/>
      <scheme val="minor"/>
    </font>
    <font>
      <b/>
      <sz val="12"/>
      <color theme="1"/>
      <name val="Calibri"/>
      <family val="1"/>
      <scheme val="minor"/>
    </font>
    <font>
      <b/>
      <sz val="16"/>
      <color indexed="10"/>
      <name val="Calibri"/>
      <family val="2"/>
      <scheme val="minor"/>
    </font>
    <font>
      <b/>
      <i/>
      <sz val="12"/>
      <name val="Times New Roman CE"/>
      <family val="2"/>
    </font>
    <font>
      <sz val="12"/>
      <color rgb="FF0066FF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Times New Roman CE"/>
      <family val="2"/>
    </font>
    <font>
      <b/>
      <i/>
      <sz val="12"/>
      <color theme="1"/>
      <name val="Calibri"/>
      <family val="2"/>
      <scheme val="minor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 CE"/>
      <family val="1"/>
    </font>
    <font>
      <b/>
      <sz val="12"/>
      <color rgb="FFFF0000"/>
      <name val="Calibri"/>
      <family val="2"/>
      <scheme val="minor"/>
    </font>
    <font>
      <sz val="9"/>
      <name val="Times New Roman CE"/>
      <family val="2"/>
    </font>
    <font>
      <b/>
      <i/>
      <sz val="12"/>
      <name val="Times New Roman"/>
      <family val="1"/>
    </font>
    <font>
      <sz val="8"/>
      <color theme="1"/>
      <name val="Times New Roman CE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186">
    <border>
      <left/>
      <right/>
      <top/>
      <bottom/>
      <diagonal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 style="medium"/>
    </border>
    <border>
      <left style="medium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/>
      <bottom style="medium"/>
    </border>
    <border>
      <left style="medium"/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 style="medium"/>
    </border>
    <border>
      <left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>
        <color indexed="8"/>
      </right>
      <top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ck"/>
    </border>
    <border>
      <left style="thin"/>
      <right/>
      <top/>
      <bottom/>
    </border>
    <border>
      <left style="thin"/>
      <right style="thick"/>
      <top/>
      <bottom/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thin"/>
      <bottom style="thick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/>
      <bottom/>
    </border>
    <border>
      <left style="medium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/>
      <top style="medium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 style="medium"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/>
      <bottom style="thin"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/>
    </border>
    <border>
      <left/>
      <right style="medium"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165" fontId="2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167" fontId="8" fillId="0" borderId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70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5" fillId="0" borderId="0" xfId="20" applyFont="1" applyAlignment="1">
      <alignment vertical="center"/>
      <protection/>
    </xf>
    <xf numFmtId="3" fontId="5" fillId="0" borderId="23" xfId="20" applyNumberFormat="1" applyFont="1" applyFill="1" applyBorder="1" applyAlignment="1">
      <alignment vertical="center"/>
      <protection/>
    </xf>
    <xf numFmtId="49" fontId="5" fillId="0" borderId="24" xfId="20" applyNumberFormat="1" applyFont="1" applyBorder="1" applyAlignment="1">
      <alignment vertical="center" wrapText="1"/>
      <protection/>
    </xf>
    <xf numFmtId="3" fontId="5" fillId="0" borderId="25" xfId="20" applyNumberFormat="1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3" fillId="0" borderId="26" xfId="20" applyFont="1" applyBorder="1" applyAlignment="1">
      <alignment horizontal="center" vertical="center" wrapText="1"/>
      <protection/>
    </xf>
    <xf numFmtId="0" fontId="3" fillId="0" borderId="27" xfId="20" applyFont="1" applyFill="1" applyBorder="1" applyAlignment="1">
      <alignment horizontal="center" vertical="center"/>
      <protection/>
    </xf>
    <xf numFmtId="0" fontId="3" fillId="0" borderId="28" xfId="20" applyFont="1" applyBorder="1" applyAlignment="1">
      <alignment horizontal="center" vertical="center" wrapText="1"/>
      <protection/>
    </xf>
    <xf numFmtId="0" fontId="3" fillId="0" borderId="27" xfId="20" applyFont="1" applyBorder="1" applyAlignment="1">
      <alignment horizontal="center" vertical="center"/>
      <protection/>
    </xf>
    <xf numFmtId="49" fontId="3" fillId="0" borderId="29" xfId="20" applyNumberFormat="1" applyFont="1" applyBorder="1" applyAlignment="1">
      <alignment vertical="center" wrapText="1"/>
      <protection/>
    </xf>
    <xf numFmtId="3" fontId="3" fillId="0" borderId="30" xfId="20" applyNumberFormat="1" applyFont="1" applyFill="1" applyBorder="1" applyAlignment="1">
      <alignment vertical="center"/>
      <protection/>
    </xf>
    <xf numFmtId="3" fontId="3" fillId="0" borderId="31" xfId="20" applyNumberFormat="1" applyFont="1" applyFill="1" applyBorder="1" applyAlignment="1">
      <alignment vertical="center"/>
      <protection/>
    </xf>
    <xf numFmtId="0" fontId="3" fillId="0" borderId="32" xfId="20" applyFont="1" applyBorder="1" applyAlignment="1">
      <alignment horizontal="left" vertical="center" wrapText="1"/>
      <protection/>
    </xf>
    <xf numFmtId="3" fontId="3" fillId="0" borderId="30" xfId="20" applyNumberFormat="1" applyFont="1" applyBorder="1" applyAlignment="1">
      <alignment vertical="center"/>
      <protection/>
    </xf>
    <xf numFmtId="3" fontId="3" fillId="0" borderId="31" xfId="20" applyNumberFormat="1" applyFont="1" applyBorder="1" applyAlignment="1">
      <alignment vertical="center"/>
      <protection/>
    </xf>
    <xf numFmtId="49" fontId="3" fillId="0" borderId="24" xfId="20" applyNumberFormat="1" applyFont="1" applyBorder="1" applyAlignment="1">
      <alignment vertical="center" wrapText="1"/>
      <protection/>
    </xf>
    <xf numFmtId="3" fontId="3" fillId="0" borderId="23" xfId="20" applyNumberFormat="1" applyFont="1" applyFill="1" applyBorder="1" applyAlignment="1">
      <alignment vertical="center"/>
      <protection/>
    </xf>
    <xf numFmtId="3" fontId="3" fillId="0" borderId="25" xfId="20" applyNumberFormat="1" applyFont="1" applyFill="1" applyBorder="1" applyAlignment="1">
      <alignment vertical="center"/>
      <protection/>
    </xf>
    <xf numFmtId="0" fontId="3" fillId="0" borderId="33" xfId="20" applyFont="1" applyBorder="1" applyAlignment="1">
      <alignment vertical="center" wrapText="1"/>
      <protection/>
    </xf>
    <xf numFmtId="3" fontId="3" fillId="0" borderId="23" xfId="20" applyNumberFormat="1" applyFont="1" applyBorder="1" applyAlignment="1">
      <alignment vertical="center"/>
      <protection/>
    </xf>
    <xf numFmtId="3" fontId="3" fillId="0" borderId="25" xfId="20" applyNumberFormat="1" applyFont="1" applyBorder="1" applyAlignment="1">
      <alignment vertical="center"/>
      <protection/>
    </xf>
    <xf numFmtId="3" fontId="5" fillId="0" borderId="23" xfId="20" applyNumberFormat="1" applyFont="1" applyBorder="1" applyAlignment="1">
      <alignment vertical="center"/>
      <protection/>
    </xf>
    <xf numFmtId="3" fontId="5" fillId="0" borderId="25" xfId="20" applyNumberFormat="1" applyFont="1" applyBorder="1" applyAlignment="1">
      <alignment vertical="center"/>
      <protection/>
    </xf>
    <xf numFmtId="0" fontId="5" fillId="0" borderId="33" xfId="20" applyFont="1" applyBorder="1" applyAlignment="1">
      <alignment vertical="center" wrapText="1"/>
      <protection/>
    </xf>
    <xf numFmtId="0" fontId="5" fillId="0" borderId="33" xfId="21" applyFont="1" applyBorder="1" applyAlignment="1">
      <alignment vertical="center" wrapText="1"/>
      <protection/>
    </xf>
    <xf numFmtId="0" fontId="9" fillId="0" borderId="33" xfId="22" applyFont="1" applyBorder="1" applyAlignment="1">
      <alignment vertical="center" wrapText="1"/>
      <protection/>
    </xf>
    <xf numFmtId="3" fontId="9" fillId="0" borderId="23" xfId="22" applyNumberFormat="1" applyFont="1" applyBorder="1" applyAlignment="1">
      <alignment vertical="center"/>
      <protection/>
    </xf>
    <xf numFmtId="3" fontId="9" fillId="0" borderId="25" xfId="22" applyNumberFormat="1" applyFont="1" applyBorder="1" applyAlignment="1">
      <alignment vertical="center"/>
      <protection/>
    </xf>
    <xf numFmtId="3" fontId="6" fillId="0" borderId="23" xfId="20" applyNumberFormat="1" applyFont="1" applyBorder="1" applyAlignment="1">
      <alignment vertical="center"/>
      <protection/>
    </xf>
    <xf numFmtId="3" fontId="6" fillId="0" borderId="25" xfId="20" applyNumberFormat="1" applyFont="1" applyBorder="1" applyAlignment="1">
      <alignment vertical="center"/>
      <protection/>
    </xf>
    <xf numFmtId="0" fontId="10" fillId="0" borderId="24" xfId="0" applyFont="1" applyBorder="1" applyAlignment="1">
      <alignment vertical="center"/>
    </xf>
    <xf numFmtId="0" fontId="5" fillId="0" borderId="0" xfId="20" applyFont="1" applyBorder="1" applyAlignment="1">
      <alignment vertical="center"/>
      <protection/>
    </xf>
    <xf numFmtId="49" fontId="5" fillId="0" borderId="34" xfId="20" applyNumberFormat="1" applyFont="1" applyBorder="1" applyAlignment="1">
      <alignment vertical="center" wrapText="1"/>
      <protection/>
    </xf>
    <xf numFmtId="3" fontId="5" fillId="0" borderId="35" xfId="20" applyNumberFormat="1" applyFont="1" applyFill="1" applyBorder="1" applyAlignment="1">
      <alignment vertical="center"/>
      <protection/>
    </xf>
    <xf numFmtId="3" fontId="5" fillId="0" borderId="36" xfId="20" applyNumberFormat="1" applyFont="1" applyFill="1" applyBorder="1" applyAlignment="1">
      <alignment vertical="center"/>
      <protection/>
    </xf>
    <xf numFmtId="0" fontId="5" fillId="0" borderId="37" xfId="20" applyFont="1" applyBorder="1" applyAlignment="1">
      <alignment vertical="center" wrapText="1"/>
      <protection/>
    </xf>
    <xf numFmtId="3" fontId="5" fillId="0" borderId="35" xfId="20" applyNumberFormat="1" applyFont="1" applyBorder="1" applyAlignment="1">
      <alignment vertical="center"/>
      <protection/>
    </xf>
    <xf numFmtId="3" fontId="5" fillId="0" borderId="36" xfId="20" applyNumberFormat="1" applyFont="1" applyBorder="1" applyAlignment="1">
      <alignment vertical="center"/>
      <protection/>
    </xf>
    <xf numFmtId="3" fontId="3" fillId="0" borderId="38" xfId="20" applyNumberFormat="1" applyFont="1" applyFill="1" applyBorder="1" applyAlignment="1">
      <alignment vertical="center"/>
      <protection/>
    </xf>
    <xf numFmtId="3" fontId="3" fillId="0" borderId="39" xfId="20" applyNumberFormat="1" applyFont="1" applyFill="1" applyBorder="1" applyAlignment="1">
      <alignment vertical="center"/>
      <protection/>
    </xf>
    <xf numFmtId="3" fontId="3" fillId="0" borderId="38" xfId="20" applyNumberFormat="1" applyFont="1" applyBorder="1" applyAlignment="1">
      <alignment vertical="center"/>
      <protection/>
    </xf>
    <xf numFmtId="3" fontId="3" fillId="0" borderId="39" xfId="20" applyNumberFormat="1" applyFont="1" applyBorder="1" applyAlignment="1">
      <alignment vertical="center"/>
      <protection/>
    </xf>
    <xf numFmtId="0" fontId="3" fillId="0" borderId="29" xfId="20" applyFont="1" applyBorder="1" applyAlignment="1">
      <alignment vertical="center" wrapText="1"/>
      <protection/>
    </xf>
    <xf numFmtId="0" fontId="3" fillId="0" borderId="32" xfId="20" applyFont="1" applyBorder="1" applyAlignment="1">
      <alignment vertical="center" wrapText="1"/>
      <protection/>
    </xf>
    <xf numFmtId="0" fontId="3" fillId="0" borderId="24" xfId="20" applyFont="1" applyBorder="1" applyAlignment="1">
      <alignment vertical="center" wrapText="1"/>
      <protection/>
    </xf>
    <xf numFmtId="3" fontId="3" fillId="0" borderId="23" xfId="20" applyNumberFormat="1" applyFont="1" applyFill="1" applyBorder="1" applyAlignment="1">
      <alignment vertical="center"/>
      <protection/>
    </xf>
    <xf numFmtId="3" fontId="3" fillId="0" borderId="25" xfId="20" applyNumberFormat="1" applyFont="1" applyFill="1" applyBorder="1" applyAlignment="1">
      <alignment vertical="center"/>
      <protection/>
    </xf>
    <xf numFmtId="3" fontId="11" fillId="0" borderId="24" xfId="0" applyNumberFormat="1" applyFont="1" applyBorder="1" applyAlignment="1">
      <alignment vertical="center" wrapText="1"/>
    </xf>
    <xf numFmtId="3" fontId="12" fillId="0" borderId="23" xfId="20" applyNumberFormat="1" applyFont="1" applyBorder="1" applyAlignment="1">
      <alignment vertical="center"/>
      <protection/>
    </xf>
    <xf numFmtId="3" fontId="11" fillId="0" borderId="34" xfId="0" applyNumberFormat="1" applyFont="1" applyBorder="1" applyAlignment="1">
      <alignment vertical="center" wrapText="1"/>
    </xf>
    <xf numFmtId="3" fontId="3" fillId="0" borderId="35" xfId="20" applyNumberFormat="1" applyFont="1" applyFill="1" applyBorder="1" applyAlignment="1">
      <alignment vertical="center"/>
      <protection/>
    </xf>
    <xf numFmtId="3" fontId="3" fillId="0" borderId="36" xfId="20" applyNumberFormat="1" applyFont="1" applyFill="1" applyBorder="1" applyAlignment="1">
      <alignment vertical="center"/>
      <protection/>
    </xf>
    <xf numFmtId="0" fontId="3" fillId="0" borderId="37" xfId="20" applyFont="1" applyBorder="1" applyAlignment="1">
      <alignment vertical="center" wrapText="1"/>
      <protection/>
    </xf>
    <xf numFmtId="3" fontId="3" fillId="0" borderId="35" xfId="20" applyNumberFormat="1" applyFont="1" applyBorder="1" applyAlignment="1">
      <alignment vertical="center"/>
      <protection/>
    </xf>
    <xf numFmtId="3" fontId="3" fillId="0" borderId="36" xfId="20" applyNumberFormat="1" applyFont="1" applyBorder="1" applyAlignment="1">
      <alignment vertical="center"/>
      <protection/>
    </xf>
    <xf numFmtId="0" fontId="3" fillId="0" borderId="40" xfId="20" applyFont="1" applyBorder="1" applyAlignment="1">
      <alignment vertical="center" wrapText="1"/>
      <protection/>
    </xf>
    <xf numFmtId="3" fontId="3" fillId="0" borderId="41" xfId="20" applyNumberFormat="1" applyFont="1" applyFill="1" applyBorder="1" applyAlignment="1">
      <alignment vertical="center"/>
      <protection/>
    </xf>
    <xf numFmtId="3" fontId="3" fillId="0" borderId="42" xfId="20" applyNumberFormat="1" applyFont="1" applyFill="1" applyBorder="1" applyAlignment="1">
      <alignment vertical="center"/>
      <protection/>
    </xf>
    <xf numFmtId="0" fontId="3" fillId="0" borderId="43" xfId="20" applyFont="1" applyBorder="1" applyAlignment="1">
      <alignment vertical="center" wrapText="1"/>
      <protection/>
    </xf>
    <xf numFmtId="3" fontId="3" fillId="0" borderId="41" xfId="20" applyNumberFormat="1" applyFont="1" applyBorder="1" applyAlignment="1">
      <alignment vertical="center"/>
      <protection/>
    </xf>
    <xf numFmtId="3" fontId="3" fillId="0" borderId="42" xfId="20" applyNumberFormat="1" applyFont="1" applyBorder="1" applyAlignment="1">
      <alignment vertical="center"/>
      <protection/>
    </xf>
    <xf numFmtId="0" fontId="3" fillId="0" borderId="44" xfId="21" applyFont="1" applyBorder="1" applyAlignment="1">
      <alignment vertical="center" wrapText="1"/>
      <protection/>
    </xf>
    <xf numFmtId="3" fontId="3" fillId="0" borderId="38" xfId="21" applyNumberFormat="1" applyFont="1" applyFill="1" applyBorder="1" applyAlignment="1">
      <alignment vertical="center"/>
      <protection/>
    </xf>
    <xf numFmtId="3" fontId="3" fillId="0" borderId="39" xfId="21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0" borderId="0" xfId="21" applyFont="1" applyAlignment="1">
      <alignment vertical="center"/>
      <protection/>
    </xf>
    <xf numFmtId="0" fontId="3" fillId="0" borderId="0" xfId="20" applyFont="1" applyAlignment="1">
      <alignment horizontal="center" vertical="center" wrapText="1"/>
      <protection/>
    </xf>
    <xf numFmtId="3" fontId="5" fillId="0" borderId="23" xfId="20" applyNumberFormat="1" applyFont="1" applyFill="1" applyBorder="1" applyAlignment="1">
      <alignment vertical="center"/>
      <protection/>
    </xf>
    <xf numFmtId="3" fontId="5" fillId="0" borderId="25" xfId="20" applyNumberFormat="1" applyFont="1" applyFill="1" applyBorder="1" applyAlignment="1">
      <alignment vertical="center"/>
      <protection/>
    </xf>
    <xf numFmtId="0" fontId="3" fillId="0" borderId="33" xfId="20" applyFont="1" applyBorder="1" applyAlignment="1">
      <alignment horizontal="left" vertical="center" wrapText="1"/>
      <protection/>
    </xf>
    <xf numFmtId="0" fontId="6" fillId="0" borderId="33" xfId="0" applyFont="1" applyBorder="1" applyAlignment="1">
      <alignment vertical="center" wrapText="1"/>
    </xf>
    <xf numFmtId="3" fontId="6" fillId="0" borderId="23" xfId="20" applyNumberFormat="1" applyFont="1" applyBorder="1" applyAlignment="1">
      <alignment vertical="center"/>
      <protection/>
    </xf>
    <xf numFmtId="3" fontId="6" fillId="0" borderId="25" xfId="20" applyNumberFormat="1" applyFont="1" applyBorder="1" applyAlignment="1">
      <alignment vertical="center"/>
      <protection/>
    </xf>
    <xf numFmtId="3" fontId="6" fillId="0" borderId="33" xfId="20" applyNumberFormat="1" applyFont="1" applyBorder="1" applyAlignment="1">
      <alignment vertical="center" wrapText="1"/>
      <protection/>
    </xf>
    <xf numFmtId="0" fontId="3" fillId="0" borderId="0" xfId="20" applyFont="1" applyBorder="1" applyAlignment="1">
      <alignment vertical="center" wrapText="1"/>
      <protection/>
    </xf>
    <xf numFmtId="3" fontId="3" fillId="0" borderId="0" xfId="20" applyNumberFormat="1" applyFont="1" applyBorder="1" applyAlignment="1">
      <alignment vertical="center"/>
      <protection/>
    </xf>
    <xf numFmtId="0" fontId="13" fillId="0" borderId="0" xfId="20" applyFont="1" applyAlignment="1">
      <alignment vertical="center" wrapText="1"/>
      <protection/>
    </xf>
    <xf numFmtId="3" fontId="13" fillId="0" borderId="0" xfId="20" applyNumberFormat="1" applyFont="1" applyAlignment="1">
      <alignment vertical="center"/>
      <protection/>
    </xf>
    <xf numFmtId="0" fontId="13" fillId="0" borderId="0" xfId="20" applyFont="1" applyBorder="1" applyAlignment="1">
      <alignment vertical="center" wrapText="1"/>
      <protection/>
    </xf>
    <xf numFmtId="3" fontId="3" fillId="0" borderId="0" xfId="20" applyNumberFormat="1" applyFont="1" applyAlignment="1">
      <alignment vertical="center"/>
      <protection/>
    </xf>
    <xf numFmtId="3" fontId="5" fillId="0" borderId="0" xfId="20" applyNumberFormat="1" applyFont="1" applyAlignment="1">
      <alignment vertical="center" wrapText="1"/>
      <protection/>
    </xf>
    <xf numFmtId="3" fontId="3" fillId="0" borderId="0" xfId="20" applyNumberFormat="1" applyFont="1" applyAlignment="1">
      <alignment horizontal="right" vertical="center"/>
      <protection/>
    </xf>
    <xf numFmtId="0" fontId="5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49" xfId="0" applyNumberFormat="1" applyFont="1" applyBorder="1" applyAlignment="1">
      <alignment horizontal="left" vertical="center" wrapText="1"/>
    </xf>
    <xf numFmtId="0" fontId="3" fillId="0" borderId="50" xfId="0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5" fillId="0" borderId="30" xfId="20" applyNumberFormat="1" applyFont="1" applyFill="1" applyBorder="1" applyAlignment="1">
      <alignment vertical="center"/>
      <protection/>
    </xf>
    <xf numFmtId="3" fontId="5" fillId="0" borderId="31" xfId="20" applyNumberFormat="1" applyFont="1" applyFill="1" applyBorder="1" applyAlignment="1">
      <alignment vertical="center"/>
      <protection/>
    </xf>
    <xf numFmtId="0" fontId="5" fillId="0" borderId="34" xfId="0" applyFont="1" applyBorder="1" applyAlignment="1">
      <alignment vertical="center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shrinkToFit="1"/>
    </xf>
    <xf numFmtId="3" fontId="11" fillId="0" borderId="1" xfId="0" applyNumberFormat="1" applyFont="1" applyBorder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  <xf numFmtId="3" fontId="10" fillId="0" borderId="0" xfId="0" applyNumberFormat="1" applyFont="1" applyAlignment="1">
      <alignment vertical="center"/>
    </xf>
    <xf numFmtId="3" fontId="10" fillId="0" borderId="45" xfId="0" applyNumberFormat="1" applyFont="1" applyBorder="1" applyAlignment="1">
      <alignment vertical="center" shrinkToFit="1"/>
    </xf>
    <xf numFmtId="3" fontId="10" fillId="0" borderId="49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 shrinkToFit="1"/>
    </xf>
    <xf numFmtId="3" fontId="11" fillId="0" borderId="48" xfId="0" applyNumberFormat="1" applyFont="1" applyBorder="1" applyAlignment="1">
      <alignment vertical="center" shrinkToFit="1"/>
    </xf>
    <xf numFmtId="3" fontId="11" fillId="0" borderId="45" xfId="0" applyNumberFormat="1" applyFont="1" applyBorder="1" applyAlignment="1">
      <alignment vertical="center" shrinkToFit="1"/>
    </xf>
    <xf numFmtId="3" fontId="11" fillId="0" borderId="58" xfId="0" applyNumberFormat="1" applyFont="1" applyBorder="1" applyAlignment="1">
      <alignment vertical="center" shrinkToFit="1"/>
    </xf>
    <xf numFmtId="3" fontId="11" fillId="0" borderId="59" xfId="0" applyNumberFormat="1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1" fillId="0" borderId="61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 vertical="center"/>
    </xf>
    <xf numFmtId="3" fontId="11" fillId="0" borderId="62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 wrapText="1"/>
    </xf>
    <xf numFmtId="164" fontId="5" fillId="0" borderId="21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24" xfId="0" applyNumberFormat="1" applyFont="1" applyBorder="1" applyAlignment="1">
      <alignment vertical="center" wrapText="1"/>
    </xf>
    <xf numFmtId="164" fontId="5" fillId="0" borderId="23" xfId="0" applyNumberFormat="1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 wrapText="1"/>
    </xf>
    <xf numFmtId="164" fontId="5" fillId="0" borderId="63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8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 wrapText="1"/>
    </xf>
    <xf numFmtId="3" fontId="3" fillId="0" borderId="62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44" xfId="0" applyNumberFormat="1" applyFont="1" applyBorder="1" applyAlignment="1">
      <alignment vertical="center" wrapText="1"/>
    </xf>
    <xf numFmtId="3" fontId="3" fillId="0" borderId="38" xfId="0" applyNumberFormat="1" applyFont="1" applyBorder="1" applyAlignment="1">
      <alignment vertical="center" wrapText="1"/>
    </xf>
    <xf numFmtId="3" fontId="3" fillId="0" borderId="39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/>
    </xf>
    <xf numFmtId="3" fontId="3" fillId="0" borderId="54" xfId="0" applyNumberFormat="1" applyFont="1" applyBorder="1" applyAlignment="1">
      <alignment vertical="center" wrapText="1"/>
    </xf>
    <xf numFmtId="3" fontId="3" fillId="0" borderId="55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3" fillId="0" borderId="68" xfId="0" applyNumberFormat="1" applyFont="1" applyBorder="1" applyAlignment="1">
      <alignment vertical="center" wrapText="1"/>
    </xf>
    <xf numFmtId="3" fontId="3" fillId="0" borderId="54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0" borderId="6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164" fontId="3" fillId="0" borderId="63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5" fillId="0" borderId="63" xfId="0" applyNumberFormat="1" applyFont="1" applyBorder="1" applyAlignment="1">
      <alignment vertical="center" wrapText="1"/>
    </xf>
    <xf numFmtId="0" fontId="19" fillId="0" borderId="6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5" xfId="0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3" fontId="6" fillId="0" borderId="47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 vertical="center" wrapText="1"/>
    </xf>
    <xf numFmtId="3" fontId="6" fillId="0" borderId="36" xfId="0" applyNumberFormat="1" applyFont="1" applyBorder="1" applyAlignment="1">
      <alignment vertical="center" wrapText="1"/>
    </xf>
    <xf numFmtId="3" fontId="6" fillId="0" borderId="69" xfId="0" applyNumberFormat="1" applyFont="1" applyBorder="1" applyAlignment="1">
      <alignment vertical="center" wrapText="1"/>
    </xf>
    <xf numFmtId="0" fontId="3" fillId="0" borderId="45" xfId="0" applyFont="1" applyBorder="1" applyAlignment="1">
      <alignment vertical="center"/>
    </xf>
    <xf numFmtId="0" fontId="3" fillId="0" borderId="58" xfId="0" applyFont="1" applyBorder="1" applyAlignment="1">
      <alignment vertical="center" wrapText="1"/>
    </xf>
    <xf numFmtId="3" fontId="3" fillId="0" borderId="59" xfId="0" applyNumberFormat="1" applyFont="1" applyBorder="1" applyAlignment="1">
      <alignment vertical="center"/>
    </xf>
    <xf numFmtId="3" fontId="3" fillId="0" borderId="6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3" fillId="0" borderId="7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3" fontId="18" fillId="0" borderId="74" xfId="24" applyNumberFormat="1" applyFont="1" applyFill="1" applyBorder="1" applyAlignment="1">
      <alignment vertical="center"/>
      <protection/>
    </xf>
    <xf numFmtId="0" fontId="18" fillId="0" borderId="75" xfId="24" applyFont="1" applyFill="1" applyBorder="1" applyAlignment="1">
      <alignment horizontal="left" vertical="center"/>
      <protection/>
    </xf>
    <xf numFmtId="3" fontId="18" fillId="0" borderId="76" xfId="24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0" fillId="0" borderId="0" xfId="25" applyFont="1" applyAlignment="1">
      <alignment vertical="center"/>
      <protection/>
    </xf>
    <xf numFmtId="0" fontId="20" fillId="0" borderId="0" xfId="25" applyFont="1" applyAlignment="1">
      <alignment horizontal="right" vertical="center"/>
      <protection/>
    </xf>
    <xf numFmtId="0" fontId="20" fillId="0" borderId="0" xfId="25" applyFont="1" applyAlignment="1">
      <alignment horizontal="center" vertical="center"/>
      <protection/>
    </xf>
    <xf numFmtId="3" fontId="20" fillId="0" borderId="0" xfId="25" applyNumberFormat="1" applyFont="1" applyAlignment="1">
      <alignment horizontal="center" vertical="center"/>
      <protection/>
    </xf>
    <xf numFmtId="3" fontId="21" fillId="0" borderId="0" xfId="25" applyNumberFormat="1" applyFont="1" applyAlignment="1">
      <alignment horizontal="right" vertical="center"/>
      <protection/>
    </xf>
    <xf numFmtId="3" fontId="21" fillId="0" borderId="76" xfId="25" applyNumberFormat="1" applyFont="1" applyBorder="1" applyAlignment="1" applyProtection="1">
      <alignment vertical="center"/>
      <protection/>
    </xf>
    <xf numFmtId="3" fontId="21" fillId="0" borderId="74" xfId="25" applyNumberFormat="1" applyFont="1" applyBorder="1" applyAlignment="1" applyProtection="1">
      <alignment vertical="center"/>
      <protection/>
    </xf>
    <xf numFmtId="0" fontId="21" fillId="0" borderId="75" xfId="25" applyFont="1" applyBorder="1" applyAlignment="1">
      <alignment horizontal="left" vertical="center"/>
      <protection/>
    </xf>
    <xf numFmtId="3" fontId="21" fillId="0" borderId="76" xfId="25" applyNumberFormat="1" applyFont="1" applyBorder="1" applyAlignment="1">
      <alignment vertical="center"/>
      <protection/>
    </xf>
    <xf numFmtId="3" fontId="21" fillId="0" borderId="74" xfId="25" applyNumberFormat="1" applyFont="1" applyBorder="1" applyAlignment="1">
      <alignment vertical="center"/>
      <protection/>
    </xf>
    <xf numFmtId="0" fontId="21" fillId="0" borderId="75" xfId="25" applyFont="1" applyFill="1" applyBorder="1" applyAlignment="1">
      <alignment horizontal="left" vertical="center"/>
      <protection/>
    </xf>
    <xf numFmtId="0" fontId="7" fillId="0" borderId="0" xfId="0" applyFont="1" applyFill="1" applyBorder="1"/>
    <xf numFmtId="165" fontId="17" fillId="0" borderId="0" xfId="27" applyFont="1" applyFill="1" applyBorder="1" applyAlignment="1">
      <alignment horizontal="center" vertical="center"/>
      <protection/>
    </xf>
    <xf numFmtId="0" fontId="7" fillId="0" borderId="0" xfId="0" applyFont="1" applyFill="1"/>
    <xf numFmtId="0" fontId="24" fillId="0" borderId="0" xfId="0" applyFont="1" applyFill="1"/>
    <xf numFmtId="166" fontId="17" fillId="0" borderId="23" xfId="27" applyNumberFormat="1" applyFont="1" applyFill="1" applyBorder="1" applyAlignment="1">
      <alignment vertical="center"/>
      <protection/>
    </xf>
    <xf numFmtId="166" fontId="23" fillId="0" borderId="23" xfId="27" applyNumberFormat="1" applyFont="1" applyFill="1" applyBorder="1" applyAlignment="1">
      <alignment vertical="center"/>
      <protection/>
    </xf>
    <xf numFmtId="166" fontId="18" fillId="0" borderId="23" xfId="27" applyNumberFormat="1" applyFont="1" applyFill="1" applyBorder="1" applyAlignment="1">
      <alignment vertical="center"/>
      <protection/>
    </xf>
    <xf numFmtId="166" fontId="18" fillId="0" borderId="23" xfId="27" applyNumberFormat="1" applyFont="1" applyFill="1" applyBorder="1" applyAlignment="1">
      <alignment/>
      <protection/>
    </xf>
    <xf numFmtId="166" fontId="18" fillId="0" borderId="27" xfId="27" applyNumberFormat="1" applyFont="1" applyFill="1" applyBorder="1" applyAlignment="1">
      <alignment/>
      <protection/>
    </xf>
    <xf numFmtId="166" fontId="17" fillId="0" borderId="30" xfId="27" applyNumberFormat="1" applyFont="1" applyFill="1" applyBorder="1" applyAlignment="1">
      <alignment vertical="center"/>
      <protection/>
    </xf>
    <xf numFmtId="165" fontId="18" fillId="0" borderId="27" xfId="27" applyFont="1" applyFill="1" applyBorder="1" applyAlignment="1">
      <alignment horizontal="center" vertical="center" wrapText="1"/>
      <protection/>
    </xf>
    <xf numFmtId="165" fontId="17" fillId="0" borderId="32" xfId="27" applyFont="1" applyFill="1" applyBorder="1" applyAlignment="1">
      <alignment vertical="center" wrapText="1"/>
      <protection/>
    </xf>
    <xf numFmtId="165" fontId="17" fillId="0" borderId="33" xfId="27" applyFont="1" applyFill="1" applyBorder="1" applyAlignment="1">
      <alignment vertical="center" wrapText="1"/>
      <protection/>
    </xf>
    <xf numFmtId="166" fontId="17" fillId="0" borderId="33" xfId="27" applyNumberFormat="1" applyFont="1" applyFill="1" applyBorder="1" applyAlignment="1">
      <alignment vertical="center"/>
      <protection/>
    </xf>
    <xf numFmtId="165" fontId="18" fillId="0" borderId="33" xfId="27" applyFont="1" applyFill="1" applyBorder="1" applyAlignment="1">
      <alignment vertical="center" wrapText="1"/>
      <protection/>
    </xf>
    <xf numFmtId="166" fontId="18" fillId="0" borderId="33" xfId="27" applyNumberFormat="1" applyFont="1" applyFill="1" applyBorder="1" applyAlignment="1">
      <alignment vertical="center"/>
      <protection/>
    </xf>
    <xf numFmtId="166" fontId="18" fillId="0" borderId="33" xfId="27" applyNumberFormat="1" applyFont="1" applyFill="1" applyBorder="1" applyAlignment="1">
      <alignment/>
      <protection/>
    </xf>
    <xf numFmtId="166" fontId="18" fillId="0" borderId="28" xfId="27" applyNumberFormat="1" applyFont="1" applyFill="1" applyBorder="1" applyAlignment="1">
      <alignment/>
      <protection/>
    </xf>
    <xf numFmtId="165" fontId="17" fillId="0" borderId="31" xfId="27" applyFont="1" applyFill="1" applyBorder="1" applyAlignment="1">
      <alignment vertical="center" wrapText="1"/>
      <protection/>
    </xf>
    <xf numFmtId="165" fontId="17" fillId="0" borderId="25" xfId="27" applyFont="1" applyFill="1" applyBorder="1" applyAlignment="1">
      <alignment vertical="center" wrapText="1"/>
      <protection/>
    </xf>
    <xf numFmtId="165" fontId="18" fillId="0" borderId="25" xfId="27" applyFont="1" applyFill="1" applyBorder="1" applyAlignment="1">
      <alignment vertical="center" wrapText="1"/>
      <protection/>
    </xf>
    <xf numFmtId="165" fontId="18" fillId="0" borderId="66" xfId="27" applyFont="1" applyFill="1" applyBorder="1" applyAlignment="1">
      <alignment vertical="center" wrapText="1"/>
      <protection/>
    </xf>
    <xf numFmtId="166" fontId="17" fillId="0" borderId="77" xfId="27" applyNumberFormat="1" applyFont="1" applyFill="1" applyBorder="1" applyAlignment="1">
      <alignment vertical="center"/>
      <protection/>
    </xf>
    <xf numFmtId="166" fontId="17" fillId="0" borderId="78" xfId="27" applyNumberFormat="1" applyFont="1" applyFill="1" applyBorder="1" applyAlignment="1">
      <alignment vertical="center"/>
      <protection/>
    </xf>
    <xf numFmtId="166" fontId="18" fillId="0" borderId="78" xfId="27" applyNumberFormat="1" applyFont="1" applyFill="1" applyBorder="1" applyAlignment="1">
      <alignment vertical="center"/>
      <protection/>
    </xf>
    <xf numFmtId="166" fontId="18" fillId="0" borderId="79" xfId="27" applyNumberFormat="1" applyFont="1" applyFill="1" applyBorder="1" applyAlignment="1">
      <alignment/>
      <protection/>
    </xf>
    <xf numFmtId="166" fontId="17" fillId="0" borderId="80" xfId="27" applyNumberFormat="1" applyFont="1" applyFill="1" applyBorder="1" applyAlignment="1">
      <alignment vertical="center"/>
      <protection/>
    </xf>
    <xf numFmtId="166" fontId="17" fillId="0" borderId="81" xfId="27" applyNumberFormat="1" applyFont="1" applyFill="1" applyBorder="1" applyAlignment="1">
      <alignment vertical="center"/>
      <protection/>
    </xf>
    <xf numFmtId="166" fontId="18" fillId="0" borderId="81" xfId="27" applyNumberFormat="1" applyFont="1" applyFill="1" applyBorder="1" applyAlignment="1">
      <alignment vertical="center"/>
      <protection/>
    </xf>
    <xf numFmtId="166" fontId="18" fillId="0" borderId="74" xfId="27" applyNumberFormat="1" applyFont="1" applyFill="1" applyBorder="1" applyAlignment="1">
      <alignment/>
      <protection/>
    </xf>
    <xf numFmtId="165" fontId="18" fillId="0" borderId="31" xfId="27" applyFont="1" applyFill="1" applyBorder="1" applyAlignment="1">
      <alignment vertical="center" wrapText="1"/>
      <protection/>
    </xf>
    <xf numFmtId="166" fontId="18" fillId="0" borderId="32" xfId="27" applyNumberFormat="1" applyFont="1" applyFill="1" applyBorder="1" applyAlignment="1">
      <alignment/>
      <protection/>
    </xf>
    <xf numFmtId="166" fontId="18" fillId="0" borderId="30" xfId="27" applyNumberFormat="1" applyFont="1" applyFill="1" applyBorder="1" applyAlignment="1">
      <alignment/>
      <protection/>
    </xf>
    <xf numFmtId="166" fontId="18" fillId="0" borderId="30" xfId="27" applyNumberFormat="1" applyFont="1" applyFill="1" applyBorder="1" applyAlignment="1">
      <alignment vertical="center"/>
      <protection/>
    </xf>
    <xf numFmtId="166" fontId="18" fillId="0" borderId="77" xfId="27" applyNumberFormat="1" applyFont="1" applyFill="1" applyBorder="1" applyAlignment="1">
      <alignment vertical="center"/>
      <protection/>
    </xf>
    <xf numFmtId="166" fontId="18" fillId="0" borderId="80" xfId="27" applyNumberFormat="1" applyFont="1" applyFill="1" applyBorder="1" applyAlignment="1">
      <alignment vertical="center"/>
      <protection/>
    </xf>
    <xf numFmtId="165" fontId="18" fillId="0" borderId="82" xfId="27" applyFont="1" applyFill="1" applyBorder="1" applyAlignment="1">
      <alignment vertical="center" wrapText="1"/>
      <protection/>
    </xf>
    <xf numFmtId="166" fontId="18" fillId="0" borderId="83" xfId="27" applyNumberFormat="1" applyFont="1" applyFill="1" applyBorder="1" applyAlignment="1">
      <alignment vertical="center"/>
      <protection/>
    </xf>
    <xf numFmtId="166" fontId="18" fillId="0" borderId="84" xfId="27" applyNumberFormat="1" applyFont="1" applyFill="1" applyBorder="1" applyAlignment="1">
      <alignment vertical="center"/>
      <protection/>
    </xf>
    <xf numFmtId="166" fontId="18" fillId="0" borderId="75" xfId="27" applyNumberFormat="1" applyFont="1" applyFill="1" applyBorder="1" applyAlignment="1">
      <alignment vertical="center"/>
      <protection/>
    </xf>
    <xf numFmtId="166" fontId="18" fillId="0" borderId="76" xfId="27" applyNumberFormat="1" applyFont="1" applyFill="1" applyBorder="1" applyAlignment="1">
      <alignment vertical="center"/>
      <protection/>
    </xf>
    <xf numFmtId="166" fontId="18" fillId="0" borderId="28" xfId="27" applyNumberFormat="1" applyFont="1" applyFill="1" applyBorder="1" applyAlignment="1">
      <alignment vertical="center"/>
      <protection/>
    </xf>
    <xf numFmtId="166" fontId="18" fillId="0" borderId="27" xfId="27" applyNumberFormat="1" applyFont="1" applyFill="1" applyBorder="1" applyAlignment="1">
      <alignment vertical="center"/>
      <protection/>
    </xf>
    <xf numFmtId="166" fontId="18" fillId="0" borderId="79" xfId="27" applyNumberFormat="1" applyFont="1" applyFill="1" applyBorder="1" applyAlignment="1">
      <alignment vertical="center"/>
      <protection/>
    </xf>
    <xf numFmtId="166" fontId="18" fillId="0" borderId="74" xfId="27" applyNumberFormat="1" applyFont="1" applyFill="1" applyBorder="1" applyAlignment="1">
      <alignment vertical="center"/>
      <protection/>
    </xf>
    <xf numFmtId="166" fontId="18" fillId="0" borderId="83" xfId="27" applyNumberFormat="1" applyFont="1" applyFill="1" applyBorder="1" applyAlignment="1">
      <alignment/>
      <protection/>
    </xf>
    <xf numFmtId="166" fontId="18" fillId="0" borderId="84" xfId="27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 vertical="center"/>
    </xf>
    <xf numFmtId="165" fontId="18" fillId="0" borderId="28" xfId="27" applyFont="1" applyFill="1" applyBorder="1" applyAlignment="1">
      <alignment horizontal="center" vertical="center" wrapText="1"/>
      <protection/>
    </xf>
    <xf numFmtId="166" fontId="17" fillId="0" borderId="32" xfId="27" applyNumberFormat="1" applyFont="1" applyFill="1" applyBorder="1" applyAlignment="1">
      <alignment vertical="center"/>
      <protection/>
    </xf>
    <xf numFmtId="165" fontId="18" fillId="0" borderId="79" xfId="27" applyFont="1" applyFill="1" applyBorder="1" applyAlignment="1">
      <alignment horizontal="center" vertical="center" wrapText="1"/>
      <protection/>
    </xf>
    <xf numFmtId="165" fontId="17" fillId="0" borderId="36" xfId="27" applyFont="1" applyFill="1" applyBorder="1" applyAlignment="1">
      <alignment vertical="center" wrapText="1"/>
      <protection/>
    </xf>
    <xf numFmtId="166" fontId="17" fillId="0" borderId="37" xfId="27" applyNumberFormat="1" applyFont="1" applyFill="1" applyBorder="1" applyAlignment="1">
      <alignment vertical="center"/>
      <protection/>
    </xf>
    <xf numFmtId="166" fontId="17" fillId="0" borderId="35" xfId="27" applyNumberFormat="1" applyFont="1" applyFill="1" applyBorder="1" applyAlignment="1">
      <alignment vertical="center"/>
      <protection/>
    </xf>
    <xf numFmtId="166" fontId="17" fillId="0" borderId="85" xfId="27" applyNumberFormat="1" applyFont="1" applyFill="1" applyBorder="1" applyAlignment="1">
      <alignment vertical="center"/>
      <protection/>
    </xf>
    <xf numFmtId="166" fontId="17" fillId="0" borderId="86" xfId="27" applyNumberFormat="1" applyFont="1" applyFill="1" applyBorder="1" applyAlignment="1">
      <alignment vertical="center"/>
      <protection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0" fillId="2" borderId="81" xfId="28" applyFont="1" applyFill="1" applyBorder="1" applyAlignment="1">
      <alignment vertical="center" wrapText="1"/>
      <protection/>
    </xf>
    <xf numFmtId="0" fontId="10" fillId="0" borderId="81" xfId="0" applyFont="1" applyBorder="1" applyAlignment="1">
      <alignment vertical="center" wrapText="1"/>
    </xf>
    <xf numFmtId="0" fontId="11" fillId="2" borderId="87" xfId="28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3" fontId="10" fillId="0" borderId="23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0" fontId="11" fillId="0" borderId="87" xfId="0" applyFont="1" applyBorder="1" applyAlignment="1">
      <alignment horizontal="center" vertical="center" wrapText="1"/>
    </xf>
    <xf numFmtId="0" fontId="10" fillId="0" borderId="80" xfId="0" applyFont="1" applyBorder="1" applyAlignment="1">
      <alignment vertical="center" wrapText="1"/>
    </xf>
    <xf numFmtId="0" fontId="10" fillId="0" borderId="81" xfId="0" applyFont="1" applyBorder="1" applyAlignment="1">
      <alignment horizontal="left" vertical="center" wrapText="1"/>
    </xf>
    <xf numFmtId="0" fontId="11" fillId="0" borderId="81" xfId="0" applyFont="1" applyBorder="1" applyAlignment="1">
      <alignment vertical="center" wrapText="1"/>
    </xf>
    <xf numFmtId="0" fontId="14" fillId="0" borderId="81" xfId="0" applyFont="1" applyBorder="1" applyAlignment="1">
      <alignment vertical="center" wrapText="1"/>
    </xf>
    <xf numFmtId="0" fontId="10" fillId="0" borderId="86" xfId="0" applyFont="1" applyBorder="1" applyAlignment="1">
      <alignment vertical="center" wrapText="1"/>
    </xf>
    <xf numFmtId="3" fontId="10" fillId="0" borderId="37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0" fontId="11" fillId="0" borderId="87" xfId="0" applyFont="1" applyBorder="1" applyAlignment="1">
      <alignment vertical="center" wrapText="1"/>
    </xf>
    <xf numFmtId="3" fontId="11" fillId="0" borderId="88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0" fontId="10" fillId="0" borderId="0" xfId="28" applyFont="1" applyAlignment="1">
      <alignment vertical="center"/>
      <protection/>
    </xf>
    <xf numFmtId="0" fontId="11" fillId="0" borderId="0" xfId="31" applyFont="1" applyBorder="1" applyAlignment="1">
      <alignment horizontal="center" vertical="center"/>
    </xf>
    <xf numFmtId="0" fontId="10" fillId="0" borderId="0" xfId="28" applyFont="1" applyAlignment="1">
      <alignment horizontal="center" vertical="center"/>
      <protection/>
    </xf>
    <xf numFmtId="0" fontId="11" fillId="0" borderId="0" xfId="28" applyFont="1" applyAlignment="1">
      <alignment vertical="center"/>
      <protection/>
    </xf>
    <xf numFmtId="0" fontId="10" fillId="0" borderId="0" xfId="28" applyFont="1" applyFill="1" applyAlignment="1">
      <alignment vertical="center"/>
      <protection/>
    </xf>
    <xf numFmtId="0" fontId="10" fillId="3" borderId="0" xfId="28" applyFont="1" applyFill="1" applyAlignment="1">
      <alignment vertical="center"/>
      <protection/>
    </xf>
    <xf numFmtId="3" fontId="10" fillId="0" borderId="0" xfId="28" applyNumberFormat="1" applyFont="1" applyFill="1" applyAlignment="1">
      <alignment vertical="center"/>
      <protection/>
    </xf>
    <xf numFmtId="0" fontId="14" fillId="0" borderId="0" xfId="28" applyFont="1" applyAlignment="1">
      <alignment vertical="center"/>
      <protection/>
    </xf>
    <xf numFmtId="0" fontId="10" fillId="0" borderId="0" xfId="28" applyFont="1" applyAlignment="1">
      <alignment vertical="center" wrapText="1"/>
      <protection/>
    </xf>
    <xf numFmtId="3" fontId="11" fillId="0" borderId="23" xfId="31" applyNumberFormat="1" applyFont="1" applyBorder="1" applyAlignment="1">
      <alignment horizontal="center" vertical="center"/>
    </xf>
    <xf numFmtId="3" fontId="10" fillId="0" borderId="23" xfId="31" applyNumberFormat="1" applyFont="1" applyBorder="1" applyAlignment="1">
      <alignment vertical="center"/>
    </xf>
    <xf numFmtId="3" fontId="10" fillId="0" borderId="23" xfId="31" applyNumberFormat="1" applyFont="1" applyFill="1" applyBorder="1" applyAlignment="1">
      <alignment vertical="center"/>
    </xf>
    <xf numFmtId="3" fontId="14" fillId="0" borderId="23" xfId="31" applyNumberFormat="1" applyFont="1" applyFill="1" applyBorder="1" applyAlignment="1">
      <alignment vertical="center"/>
    </xf>
    <xf numFmtId="3" fontId="11" fillId="0" borderId="23" xfId="31" applyNumberFormat="1" applyFont="1" applyFill="1" applyBorder="1" applyAlignment="1">
      <alignment vertical="center"/>
    </xf>
    <xf numFmtId="3" fontId="10" fillId="0" borderId="25" xfId="31" applyNumberFormat="1" applyFont="1" applyBorder="1" applyAlignment="1">
      <alignment vertical="center"/>
    </xf>
    <xf numFmtId="3" fontId="10" fillId="0" borderId="25" xfId="31" applyNumberFormat="1" applyFont="1" applyFill="1" applyBorder="1" applyAlignment="1">
      <alignment vertical="center"/>
    </xf>
    <xf numFmtId="3" fontId="14" fillId="0" borderId="25" xfId="31" applyNumberFormat="1" applyFont="1" applyFill="1" applyBorder="1" applyAlignment="1">
      <alignment vertical="center"/>
    </xf>
    <xf numFmtId="3" fontId="11" fillId="0" borderId="25" xfId="31" applyNumberFormat="1" applyFont="1" applyFill="1" applyBorder="1" applyAlignment="1">
      <alignment vertical="center"/>
    </xf>
    <xf numFmtId="3" fontId="11" fillId="0" borderId="30" xfId="31" applyNumberFormat="1" applyFont="1" applyBorder="1" applyAlignment="1">
      <alignment vertical="center"/>
    </xf>
    <xf numFmtId="3" fontId="11" fillId="0" borderId="31" xfId="31" applyNumberFormat="1" applyFont="1" applyBorder="1" applyAlignment="1">
      <alignment vertical="center"/>
    </xf>
    <xf numFmtId="3" fontId="11" fillId="0" borderId="38" xfId="31" applyNumberFormat="1" applyFont="1" applyBorder="1" applyAlignment="1">
      <alignment horizontal="center" vertical="center"/>
    </xf>
    <xf numFmtId="3" fontId="11" fillId="0" borderId="39" xfId="31" applyNumberFormat="1" applyFont="1" applyBorder="1" applyAlignment="1">
      <alignment horizontal="center" vertical="center"/>
    </xf>
    <xf numFmtId="3" fontId="11" fillId="0" borderId="88" xfId="31" applyNumberFormat="1" applyFont="1" applyBorder="1" applyAlignment="1">
      <alignment horizontal="center" vertical="center"/>
    </xf>
    <xf numFmtId="3" fontId="11" fillId="0" borderId="32" xfId="31" applyNumberFormat="1" applyFont="1" applyBorder="1" applyAlignment="1">
      <alignment vertical="center"/>
    </xf>
    <xf numFmtId="3" fontId="10" fillId="0" borderId="33" xfId="31" applyNumberFormat="1" applyFont="1" applyBorder="1" applyAlignment="1">
      <alignment vertical="center"/>
    </xf>
    <xf numFmtId="3" fontId="10" fillId="0" borderId="33" xfId="31" applyNumberFormat="1" applyFont="1" applyFill="1" applyBorder="1" applyAlignment="1">
      <alignment vertical="center"/>
    </xf>
    <xf numFmtId="3" fontId="14" fillId="0" borderId="33" xfId="31" applyNumberFormat="1" applyFont="1" applyFill="1" applyBorder="1" applyAlignment="1">
      <alignment vertical="center"/>
    </xf>
    <xf numFmtId="3" fontId="11" fillId="0" borderId="33" xfId="31" applyNumberFormat="1" applyFont="1" applyFill="1" applyBorder="1" applyAlignment="1">
      <alignment vertical="center"/>
    </xf>
    <xf numFmtId="0" fontId="11" fillId="0" borderId="87" xfId="31" applyFont="1" applyBorder="1" applyAlignment="1">
      <alignment horizontal="center" vertical="center" wrapText="1"/>
    </xf>
    <xf numFmtId="0" fontId="11" fillId="0" borderId="80" xfId="31" applyFont="1" applyBorder="1" applyAlignment="1">
      <alignment vertical="center" wrapText="1"/>
    </xf>
    <xf numFmtId="0" fontId="10" fillId="0" borderId="81" xfId="31" applyFont="1" applyBorder="1" applyAlignment="1">
      <alignment vertical="center" wrapText="1"/>
    </xf>
    <xf numFmtId="0" fontId="11" fillId="0" borderId="81" xfId="31" applyFont="1" applyBorder="1" applyAlignment="1">
      <alignment vertical="center" wrapText="1"/>
    </xf>
    <xf numFmtId="0" fontId="10" fillId="4" borderId="81" xfId="31" applyFont="1" applyFill="1" applyBorder="1" applyAlignment="1">
      <alignment vertical="center" wrapText="1"/>
    </xf>
    <xf numFmtId="0" fontId="10" fillId="0" borderId="81" xfId="31" applyFont="1" applyFill="1" applyBorder="1" applyAlignment="1">
      <alignment vertical="center" wrapText="1"/>
    </xf>
    <xf numFmtId="0" fontId="14" fillId="0" borderId="81" xfId="31" applyFont="1" applyFill="1" applyBorder="1" applyAlignment="1">
      <alignment vertical="center" wrapText="1"/>
    </xf>
    <xf numFmtId="0" fontId="11" fillId="0" borderId="81" xfId="31" applyFont="1" applyFill="1" applyBorder="1" applyAlignment="1">
      <alignment vertical="center" wrapText="1"/>
    </xf>
    <xf numFmtId="0" fontId="10" fillId="0" borderId="81" xfId="0" applyFont="1" applyFill="1" applyBorder="1" applyAlignment="1">
      <alignment vertical="center" wrapText="1"/>
    </xf>
    <xf numFmtId="0" fontId="14" fillId="0" borderId="81" xfId="31" applyFont="1" applyBorder="1" applyAlignment="1">
      <alignment vertical="center" wrapText="1"/>
    </xf>
    <xf numFmtId="0" fontId="11" fillId="0" borderId="87" xfId="31" applyFont="1" applyBorder="1" applyAlignment="1">
      <alignment vertical="center" wrapText="1"/>
    </xf>
    <xf numFmtId="3" fontId="11" fillId="0" borderId="88" xfId="31" applyNumberFormat="1" applyFont="1" applyBorder="1" applyAlignment="1">
      <alignment vertical="center"/>
    </xf>
    <xf numFmtId="3" fontId="11" fillId="0" borderId="38" xfId="31" applyNumberFormat="1" applyFont="1" applyBorder="1" applyAlignment="1">
      <alignment vertical="center"/>
    </xf>
    <xf numFmtId="3" fontId="11" fillId="0" borderId="39" xfId="31" applyNumberFormat="1" applyFont="1" applyBorder="1" applyAlignment="1">
      <alignment vertical="center"/>
    </xf>
    <xf numFmtId="0" fontId="11" fillId="0" borderId="86" xfId="31" applyFont="1" applyBorder="1" applyAlignment="1">
      <alignment vertical="center" wrapText="1"/>
    </xf>
    <xf numFmtId="3" fontId="11" fillId="0" borderId="37" xfId="31" applyNumberFormat="1" applyFont="1" applyFill="1" applyBorder="1" applyAlignment="1">
      <alignment vertical="center"/>
    </xf>
    <xf numFmtId="3" fontId="11" fillId="0" borderId="35" xfId="31" applyNumberFormat="1" applyFont="1" applyFill="1" applyBorder="1" applyAlignment="1">
      <alignment vertical="center"/>
    </xf>
    <xf numFmtId="3" fontId="11" fillId="0" borderId="36" xfId="31" applyNumberFormat="1" applyFont="1" applyFill="1" applyBorder="1" applyAlignment="1">
      <alignment vertical="center"/>
    </xf>
    <xf numFmtId="0" fontId="11" fillId="0" borderId="0" xfId="28" applyFont="1" applyBorder="1" applyAlignment="1">
      <alignment vertical="center"/>
      <protection/>
    </xf>
    <xf numFmtId="3" fontId="11" fillId="0" borderId="25" xfId="31" applyNumberFormat="1" applyFont="1" applyBorder="1" applyAlignment="1">
      <alignment horizontal="center" vertical="center"/>
    </xf>
    <xf numFmtId="3" fontId="11" fillId="0" borderId="33" xfId="31" applyNumberFormat="1" applyFont="1" applyBorder="1" applyAlignment="1">
      <alignment horizontal="center" vertical="center"/>
    </xf>
    <xf numFmtId="3" fontId="11" fillId="0" borderId="32" xfId="31" applyNumberFormat="1" applyFont="1" applyBorder="1" applyAlignment="1">
      <alignment horizontal="center" vertical="center"/>
    </xf>
    <xf numFmtId="3" fontId="11" fillId="0" borderId="30" xfId="31" applyNumberFormat="1" applyFont="1" applyBorder="1" applyAlignment="1">
      <alignment horizontal="center" vertical="center"/>
    </xf>
    <xf numFmtId="3" fontId="11" fillId="0" borderId="31" xfId="31" applyNumberFormat="1" applyFont="1" applyBorder="1" applyAlignment="1">
      <alignment horizontal="center" vertical="center"/>
    </xf>
    <xf numFmtId="3" fontId="14" fillId="0" borderId="33" xfId="31" applyNumberFormat="1" applyFont="1" applyBorder="1" applyAlignment="1">
      <alignment vertical="center"/>
    </xf>
    <xf numFmtId="3" fontId="14" fillId="0" borderId="23" xfId="31" applyNumberFormat="1" applyFont="1" applyBorder="1" applyAlignment="1">
      <alignment vertical="center"/>
    </xf>
    <xf numFmtId="3" fontId="14" fillId="0" borderId="25" xfId="31" applyNumberFormat="1" applyFont="1" applyBorder="1" applyAlignment="1">
      <alignment vertical="center"/>
    </xf>
    <xf numFmtId="0" fontId="9" fillId="0" borderId="0" xfId="28" applyFont="1" applyAlignment="1">
      <alignment vertical="center"/>
      <protection/>
    </xf>
    <xf numFmtId="0" fontId="9" fillId="0" borderId="0" xfId="28" applyFont="1" applyFill="1" applyAlignment="1">
      <alignment vertical="center"/>
      <protection/>
    </xf>
    <xf numFmtId="0" fontId="10" fillId="0" borderId="86" xfId="31" applyFont="1" applyBorder="1" applyAlignment="1">
      <alignment vertical="center" wrapText="1"/>
    </xf>
    <xf numFmtId="3" fontId="10" fillId="0" borderId="37" xfId="31" applyNumberFormat="1" applyFont="1" applyBorder="1" applyAlignment="1">
      <alignment vertical="center"/>
    </xf>
    <xf numFmtId="3" fontId="10" fillId="0" borderId="35" xfId="31" applyNumberFormat="1" applyFont="1" applyBorder="1" applyAlignment="1">
      <alignment vertical="center"/>
    </xf>
    <xf numFmtId="3" fontId="10" fillId="0" borderId="36" xfId="31" applyNumberFormat="1" applyFont="1" applyBorder="1" applyAlignment="1">
      <alignment vertical="center"/>
    </xf>
    <xf numFmtId="3" fontId="11" fillId="0" borderId="88" xfId="31" applyNumberFormat="1" applyFont="1" applyFill="1" applyBorder="1" applyAlignment="1">
      <alignment vertical="center"/>
    </xf>
    <xf numFmtId="3" fontId="11" fillId="0" borderId="38" xfId="31" applyNumberFormat="1" applyFont="1" applyFill="1" applyBorder="1" applyAlignment="1">
      <alignment vertical="center"/>
    </xf>
    <xf numFmtId="3" fontId="11" fillId="0" borderId="39" xfId="3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3" fontId="10" fillId="0" borderId="0" xfId="28" applyNumberFormat="1" applyFont="1" applyAlignment="1">
      <alignment vertical="center"/>
      <protection/>
    </xf>
    <xf numFmtId="3" fontId="11" fillId="0" borderId="23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4" fillId="0" borderId="25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11" fillId="0" borderId="38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14" fillId="0" borderId="0" xfId="28" applyFont="1" applyBorder="1" applyAlignment="1">
      <alignment vertical="center"/>
      <protection/>
    </xf>
    <xf numFmtId="3" fontId="11" fillId="0" borderId="88" xfId="0" applyNumberFormat="1" applyFont="1" applyBorder="1" applyAlignment="1">
      <alignment horizontal="center" vertical="center"/>
    </xf>
    <xf numFmtId="3" fontId="11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0" fontId="11" fillId="0" borderId="80" xfId="0" applyFont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0" fontId="11" fillId="0" borderId="86" xfId="3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3" fontId="11" fillId="0" borderId="36" xfId="0" applyNumberFormat="1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justify" vertical="center" wrapText="1"/>
    </xf>
    <xf numFmtId="2" fontId="10" fillId="0" borderId="32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0" fontId="10" fillId="0" borderId="81" xfId="0" applyFont="1" applyBorder="1" applyAlignment="1">
      <alignment horizontal="justify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9" fillId="0" borderId="81" xfId="0" applyFont="1" applyBorder="1" applyAlignment="1">
      <alignment horizontal="justify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11" fillId="0" borderId="81" xfId="0" applyFont="1" applyBorder="1" applyAlignment="1">
      <alignment horizontal="justify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justify" vertical="center" wrapText="1"/>
    </xf>
    <xf numFmtId="0" fontId="10" fillId="0" borderId="86" xfId="0" applyFont="1" applyBorder="1" applyAlignment="1">
      <alignment horizontal="justify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 wrapText="1"/>
    </xf>
    <xf numFmtId="0" fontId="11" fillId="0" borderId="87" xfId="0" applyFont="1" applyBorder="1" applyAlignment="1">
      <alignment horizontal="justify" vertical="center" wrapText="1"/>
    </xf>
    <xf numFmtId="2" fontId="11" fillId="0" borderId="88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16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89" xfId="0" applyFont="1" applyBorder="1" applyAlignment="1">
      <alignment vertical="center"/>
    </xf>
    <xf numFmtId="2" fontId="10" fillId="0" borderId="43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11" fillId="0" borderId="87" xfId="0" applyFont="1" applyBorder="1" applyAlignment="1">
      <alignment vertical="center"/>
    </xf>
    <xf numFmtId="2" fontId="11" fillId="0" borderId="88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0" fontId="11" fillId="0" borderId="0" xfId="32" applyFont="1" applyBorder="1" applyAlignment="1">
      <alignment horizontal="center" vertical="center"/>
      <protection/>
    </xf>
    <xf numFmtId="0" fontId="11" fillId="0" borderId="0" xfId="32" applyFont="1" applyBorder="1" applyAlignment="1">
      <alignment horizontal="center" vertical="center" wrapText="1"/>
      <protection/>
    </xf>
    <xf numFmtId="3" fontId="10" fillId="0" borderId="23" xfId="32" applyNumberFormat="1" applyFont="1" applyBorder="1" applyAlignment="1">
      <alignment horizontal="right"/>
      <protection/>
    </xf>
    <xf numFmtId="3" fontId="10" fillId="0" borderId="78" xfId="32" applyNumberFormat="1" applyFont="1" applyBorder="1" applyAlignment="1">
      <alignment horizontal="right"/>
      <protection/>
    </xf>
    <xf numFmtId="3" fontId="11" fillId="0" borderId="25" xfId="32" applyNumberFormat="1" applyFont="1" applyBorder="1" applyAlignment="1">
      <alignment horizontal="right"/>
      <protection/>
    </xf>
    <xf numFmtId="3" fontId="11" fillId="0" borderId="0" xfId="32" applyNumberFormat="1" applyFont="1" applyBorder="1" applyAlignment="1">
      <alignment horizontal="right"/>
      <protection/>
    </xf>
    <xf numFmtId="0" fontId="10" fillId="0" borderId="24" xfId="32" applyFont="1" applyBorder="1" applyAlignment="1">
      <alignment horizontal="left"/>
      <protection/>
    </xf>
    <xf numFmtId="0" fontId="10" fillId="0" borderId="26" xfId="32" applyFont="1" applyBorder="1" applyAlignment="1">
      <alignment horizontal="left"/>
      <protection/>
    </xf>
    <xf numFmtId="3" fontId="10" fillId="0" borderId="27" xfId="32" applyNumberFormat="1" applyFont="1" applyBorder="1" applyAlignment="1">
      <alignment horizontal="right"/>
      <protection/>
    </xf>
    <xf numFmtId="3" fontId="10" fillId="0" borderId="79" xfId="32" applyNumberFormat="1" applyFont="1" applyBorder="1" applyAlignment="1">
      <alignment horizontal="right"/>
      <protection/>
    </xf>
    <xf numFmtId="3" fontId="11" fillId="0" borderId="66" xfId="32" applyNumberFormat="1" applyFont="1" applyBorder="1" applyAlignment="1">
      <alignment horizontal="right"/>
      <protection/>
    </xf>
    <xf numFmtId="0" fontId="7" fillId="0" borderId="0" xfId="0" applyFont="1" applyBorder="1"/>
    <xf numFmtId="3" fontId="11" fillId="0" borderId="23" xfId="32" applyNumberFormat="1" applyFont="1" applyBorder="1" applyAlignment="1">
      <alignment horizontal="right"/>
      <protection/>
    </xf>
    <xf numFmtId="3" fontId="11" fillId="0" borderId="27" xfId="32" applyNumberFormat="1" applyFont="1" applyBorder="1" applyAlignment="1">
      <alignment horizontal="right"/>
      <protection/>
    </xf>
    <xf numFmtId="0" fontId="11" fillId="0" borderId="27" xfId="32" applyFont="1" applyBorder="1" applyAlignment="1">
      <alignment horizontal="center" vertical="center" wrapText="1"/>
      <protection/>
    </xf>
    <xf numFmtId="0" fontId="11" fillId="0" borderId="28" xfId="32" applyFont="1" applyBorder="1" applyAlignment="1">
      <alignment horizontal="center" vertical="center" wrapText="1"/>
      <protection/>
    </xf>
    <xf numFmtId="3" fontId="10" fillId="0" borderId="33" xfId="32" applyNumberFormat="1" applyFont="1" applyBorder="1" applyAlignment="1">
      <alignment horizontal="right"/>
      <protection/>
    </xf>
    <xf numFmtId="3" fontId="10" fillId="0" borderId="28" xfId="32" applyNumberFormat="1" applyFont="1" applyBorder="1" applyAlignment="1">
      <alignment horizontal="right"/>
      <protection/>
    </xf>
    <xf numFmtId="0" fontId="10" fillId="0" borderId="25" xfId="32" applyFont="1" applyBorder="1">
      <alignment/>
      <protection/>
    </xf>
    <xf numFmtId="0" fontId="10" fillId="0" borderId="66" xfId="32" applyFont="1" applyBorder="1">
      <alignment/>
      <protection/>
    </xf>
    <xf numFmtId="0" fontId="11" fillId="0" borderId="79" xfId="32" applyFont="1" applyBorder="1" applyAlignment="1">
      <alignment horizontal="center" vertical="center" wrapText="1"/>
      <protection/>
    </xf>
    <xf numFmtId="3" fontId="11" fillId="0" borderId="33" xfId="32" applyNumberFormat="1" applyFont="1" applyBorder="1" applyAlignment="1">
      <alignment horizontal="right"/>
      <protection/>
    </xf>
    <xf numFmtId="3" fontId="11" fillId="0" borderId="28" xfId="32" applyNumberFormat="1" applyFont="1" applyBorder="1" applyAlignment="1">
      <alignment horizontal="right"/>
      <protection/>
    </xf>
    <xf numFmtId="0" fontId="11" fillId="0" borderId="26" xfId="32" applyFont="1" applyBorder="1" applyAlignment="1">
      <alignment horizontal="center" vertical="center" wrapText="1"/>
      <protection/>
    </xf>
    <xf numFmtId="3" fontId="10" fillId="0" borderId="24" xfId="32" applyNumberFormat="1" applyFont="1" applyBorder="1" applyAlignment="1">
      <alignment horizontal="right"/>
      <protection/>
    </xf>
    <xf numFmtId="3" fontId="10" fillId="0" borderId="25" xfId="32" applyNumberFormat="1" applyFont="1" applyBorder="1" applyAlignment="1">
      <alignment horizontal="right"/>
      <protection/>
    </xf>
    <xf numFmtId="3" fontId="10" fillId="0" borderId="26" xfId="32" applyNumberFormat="1" applyFont="1" applyBorder="1" applyAlignment="1">
      <alignment horizontal="right"/>
      <protection/>
    </xf>
    <xf numFmtId="3" fontId="10" fillId="0" borderId="66" xfId="32" applyNumberFormat="1" applyFont="1" applyBorder="1" applyAlignment="1">
      <alignment horizontal="right"/>
      <protection/>
    </xf>
    <xf numFmtId="3" fontId="29" fillId="0" borderId="23" xfId="0" applyNumberFormat="1" applyFont="1" applyBorder="1" applyAlignment="1">
      <alignment horizontal="right" vertical="center" wrapText="1"/>
    </xf>
    <xf numFmtId="3" fontId="30" fillId="0" borderId="23" xfId="0" applyNumberFormat="1" applyFont="1" applyBorder="1" applyAlignment="1">
      <alignment horizontal="right" vertical="center" wrapText="1"/>
    </xf>
    <xf numFmtId="3" fontId="29" fillId="0" borderId="27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24" xfId="0" applyFont="1" applyBorder="1" applyAlignment="1">
      <alignment vertical="center" wrapText="1"/>
    </xf>
    <xf numFmtId="3" fontId="29" fillId="0" borderId="25" xfId="0" applyNumberFormat="1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/>
    </xf>
    <xf numFmtId="3" fontId="30" fillId="0" borderId="25" xfId="0" applyNumberFormat="1" applyFont="1" applyBorder="1" applyAlignment="1">
      <alignment horizontal="right" vertical="center" wrapText="1"/>
    </xf>
    <xf numFmtId="0" fontId="29" fillId="0" borderId="26" xfId="0" applyFont="1" applyFill="1" applyBorder="1" applyAlignment="1">
      <alignment vertical="center" wrapText="1"/>
    </xf>
    <xf numFmtId="3" fontId="29" fillId="0" borderId="66" xfId="0" applyNumberFormat="1" applyFont="1" applyBorder="1" applyAlignment="1">
      <alignment vertical="center"/>
    </xf>
    <xf numFmtId="0" fontId="29" fillId="0" borderId="29" xfId="0" applyFont="1" applyBorder="1" applyAlignment="1">
      <alignment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3" fontId="29" fillId="0" borderId="31" xfId="0" applyNumberFormat="1" applyFont="1" applyBorder="1" applyAlignment="1">
      <alignment horizontal="right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3" fontId="29" fillId="0" borderId="77" xfId="0" applyNumberFormat="1" applyFont="1" applyBorder="1" applyAlignment="1">
      <alignment horizontal="right" vertical="center" wrapText="1"/>
    </xf>
    <xf numFmtId="3" fontId="29" fillId="0" borderId="78" xfId="0" applyNumberFormat="1" applyFont="1" applyBorder="1" applyAlignment="1">
      <alignment horizontal="right" vertical="center" wrapText="1"/>
    </xf>
    <xf numFmtId="3" fontId="30" fillId="0" borderId="78" xfId="0" applyNumberFormat="1" applyFont="1" applyBorder="1" applyAlignment="1">
      <alignment horizontal="right" vertical="center" wrapText="1"/>
    </xf>
    <xf numFmtId="3" fontId="29" fillId="0" borderId="79" xfId="0" applyNumberFormat="1" applyFont="1" applyBorder="1" applyAlignment="1">
      <alignment vertical="center"/>
    </xf>
    <xf numFmtId="3" fontId="29" fillId="0" borderId="29" xfId="0" applyNumberFormat="1" applyFont="1" applyBorder="1" applyAlignment="1">
      <alignment horizontal="right"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3" fontId="29" fillId="0" borderId="26" xfId="0" applyNumberFormat="1" applyFont="1" applyBorder="1" applyAlignment="1">
      <alignment vertical="center"/>
    </xf>
    <xf numFmtId="49" fontId="10" fillId="0" borderId="0" xfId="33" applyNumberFormat="1" applyFont="1" applyAlignment="1">
      <alignment horizontal="center"/>
      <protection/>
    </xf>
    <xf numFmtId="49" fontId="10" fillId="0" borderId="0" xfId="33" applyNumberFormat="1" applyFont="1" applyBorder="1" applyAlignment="1">
      <alignment horizontal="center"/>
      <protection/>
    </xf>
    <xf numFmtId="0" fontId="10" fillId="0" borderId="0" xfId="33" applyFont="1">
      <alignment/>
      <protection/>
    </xf>
    <xf numFmtId="3" fontId="10" fillId="0" borderId="0" xfId="33" applyNumberFormat="1" applyFont="1">
      <alignment/>
      <protection/>
    </xf>
    <xf numFmtId="3" fontId="11" fillId="0" borderId="0" xfId="33" applyNumberFormat="1" applyFont="1">
      <alignment/>
      <protection/>
    </xf>
    <xf numFmtId="49" fontId="10" fillId="0" borderId="0" xfId="33" applyNumberFormat="1" applyFont="1" applyBorder="1" applyAlignment="1">
      <alignment horizontal="center" vertical="center"/>
      <protection/>
    </xf>
    <xf numFmtId="49" fontId="10" fillId="0" borderId="0" xfId="33" applyNumberFormat="1" applyFont="1" applyBorder="1" applyAlignment="1">
      <alignment horizontal="center" vertical="center" wrapText="1"/>
      <protection/>
    </xf>
    <xf numFmtId="0" fontId="10" fillId="0" borderId="0" xfId="33" applyFont="1" applyAlignment="1">
      <alignment vertical="center"/>
      <protection/>
    </xf>
    <xf numFmtId="49" fontId="10" fillId="0" borderId="0" xfId="28" applyNumberFormat="1" applyFont="1" applyFill="1" applyBorder="1" applyAlignment="1">
      <alignment horizontal="center" vertical="center"/>
      <protection/>
    </xf>
    <xf numFmtId="3" fontId="10" fillId="0" borderId="78" xfId="28" applyNumberFormat="1" applyFont="1" applyFill="1" applyBorder="1" applyAlignment="1">
      <alignment horizontal="right" vertical="center"/>
      <protection/>
    </xf>
    <xf numFmtId="3" fontId="10" fillId="0" borderId="23" xfId="33" applyNumberFormat="1" applyFont="1" applyBorder="1" applyAlignment="1">
      <alignment horizontal="right" vertical="center"/>
      <protection/>
    </xf>
    <xf numFmtId="3" fontId="10" fillId="0" borderId="78" xfId="33" applyNumberFormat="1" applyFont="1" applyBorder="1" applyAlignment="1">
      <alignment horizontal="right" vertical="center"/>
      <protection/>
    </xf>
    <xf numFmtId="3" fontId="10" fillId="0" borderId="23" xfId="0" applyNumberFormat="1" applyFont="1" applyBorder="1" applyAlignment="1">
      <alignment horizontal="right" vertical="center" wrapText="1"/>
    </xf>
    <xf numFmtId="3" fontId="17" fillId="2" borderId="23" xfId="29" applyNumberFormat="1" applyFont="1" applyFill="1" applyBorder="1" applyAlignment="1">
      <alignment horizontal="right" vertical="center" wrapText="1"/>
      <protection/>
    </xf>
    <xf numFmtId="3" fontId="17" fillId="2" borderId="78" xfId="29" applyNumberFormat="1" applyFont="1" applyFill="1" applyBorder="1" applyAlignment="1">
      <alignment horizontal="right" vertical="center" wrapText="1"/>
      <protection/>
    </xf>
    <xf numFmtId="3" fontId="17" fillId="2" borderId="33" xfId="29" applyNumberFormat="1" applyFont="1" applyFill="1" applyBorder="1" applyAlignment="1">
      <alignment horizontal="right" vertical="center" wrapText="1"/>
      <protection/>
    </xf>
    <xf numFmtId="3" fontId="10" fillId="0" borderId="23" xfId="28" applyNumberFormat="1" applyFont="1" applyFill="1" applyBorder="1" applyAlignment="1">
      <alignment horizontal="right" vertical="center" wrapText="1"/>
      <protection/>
    </xf>
    <xf numFmtId="3" fontId="10" fillId="2" borderId="23" xfId="28" applyNumberFormat="1" applyFont="1" applyFill="1" applyBorder="1" applyAlignment="1">
      <alignment horizontal="right" vertical="center" wrapText="1"/>
      <protection/>
    </xf>
    <xf numFmtId="3" fontId="10" fillId="2" borderId="78" xfId="28" applyNumberFormat="1" applyFont="1" applyFill="1" applyBorder="1" applyAlignment="1">
      <alignment horizontal="right" vertical="center" wrapText="1"/>
      <protection/>
    </xf>
    <xf numFmtId="3" fontId="10" fillId="2" borderId="33" xfId="28" applyNumberFormat="1" applyFont="1" applyFill="1" applyBorder="1" applyAlignment="1">
      <alignment horizontal="right" vertical="center" wrapText="1"/>
      <protection/>
    </xf>
    <xf numFmtId="3" fontId="10" fillId="0" borderId="33" xfId="33" applyNumberFormat="1" applyFont="1" applyBorder="1" applyAlignment="1">
      <alignment horizontal="right" vertical="center"/>
      <protection/>
    </xf>
    <xf numFmtId="3" fontId="11" fillId="0" borderId="23" xfId="33" applyNumberFormat="1" applyFont="1" applyBorder="1" applyAlignment="1">
      <alignment horizontal="right" vertical="center" wrapText="1"/>
      <protection/>
    </xf>
    <xf numFmtId="3" fontId="11" fillId="0" borderId="78" xfId="33" applyNumberFormat="1" applyFont="1" applyBorder="1" applyAlignment="1">
      <alignment horizontal="right" vertical="center" wrapText="1"/>
      <protection/>
    </xf>
    <xf numFmtId="3" fontId="11" fillId="0" borderId="33" xfId="33" applyNumberFormat="1" applyFont="1" applyBorder="1" applyAlignment="1">
      <alignment horizontal="right" vertical="center" wrapText="1"/>
      <protection/>
    </xf>
    <xf numFmtId="3" fontId="10" fillId="0" borderId="23" xfId="28" applyNumberFormat="1" applyFont="1" applyFill="1" applyBorder="1" applyAlignment="1">
      <alignment horizontal="right" vertical="center"/>
      <protection/>
    </xf>
    <xf numFmtId="3" fontId="10" fillId="0" borderId="33" xfId="28" applyNumberFormat="1" applyFont="1" applyFill="1" applyBorder="1" applyAlignment="1">
      <alignment horizontal="right" vertical="center"/>
      <protection/>
    </xf>
    <xf numFmtId="3" fontId="10" fillId="0" borderId="33" xfId="33" applyNumberFormat="1" applyFont="1" applyBorder="1" applyAlignment="1">
      <alignment horizontal="right" vertical="center" wrapText="1"/>
      <protection/>
    </xf>
    <xf numFmtId="3" fontId="10" fillId="0" borderId="78" xfId="33" applyNumberFormat="1" applyFont="1" applyBorder="1" applyAlignment="1">
      <alignment horizontal="right" vertical="center" wrapText="1"/>
      <protection/>
    </xf>
    <xf numFmtId="3" fontId="10" fillId="0" borderId="23" xfId="33" applyNumberFormat="1" applyFont="1" applyBorder="1" applyAlignment="1">
      <alignment horizontal="right" vertical="center" wrapText="1"/>
      <protection/>
    </xf>
    <xf numFmtId="0" fontId="11" fillId="0" borderId="0" xfId="33" applyFont="1" applyBorder="1" applyAlignment="1">
      <alignment horizontal="left" vertical="center"/>
      <protection/>
    </xf>
    <xf numFmtId="3" fontId="11" fillId="0" borderId="0" xfId="33" applyNumberFormat="1" applyFont="1" applyBorder="1" applyAlignment="1">
      <alignment horizontal="right" vertical="center"/>
      <protection/>
    </xf>
    <xf numFmtId="3" fontId="11" fillId="0" borderId="0" xfId="33" applyNumberFormat="1" applyFont="1" applyBorder="1" applyAlignment="1">
      <alignment horizontal="left" vertical="center"/>
      <protection/>
    </xf>
    <xf numFmtId="0" fontId="10" fillId="0" borderId="0" xfId="33" applyFont="1" applyBorder="1">
      <alignment/>
      <protection/>
    </xf>
    <xf numFmtId="3" fontId="10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49" fontId="10" fillId="2" borderId="24" xfId="29" applyNumberFormat="1" applyFont="1" applyFill="1" applyBorder="1" applyAlignment="1">
      <alignment horizontal="left" vertical="center" wrapText="1"/>
      <protection/>
    </xf>
    <xf numFmtId="3" fontId="10" fillId="0" borderId="25" xfId="33" applyNumberFormat="1" applyFont="1" applyBorder="1" applyAlignment="1">
      <alignment horizontal="right" vertical="center"/>
      <protection/>
    </xf>
    <xf numFmtId="0" fontId="10" fillId="0" borderId="24" xfId="0" applyFont="1" applyBorder="1" applyAlignment="1">
      <alignment vertical="center" wrapText="1"/>
    </xf>
    <xf numFmtId="49" fontId="17" fillId="2" borderId="24" xfId="29" applyNumberFormat="1" applyFont="1" applyFill="1" applyBorder="1" applyAlignment="1">
      <alignment horizontal="left" vertical="center" wrapText="1"/>
      <protection/>
    </xf>
    <xf numFmtId="0" fontId="10" fillId="2" borderId="24" xfId="28" applyFont="1" applyFill="1" applyBorder="1" applyAlignment="1">
      <alignment vertical="center" wrapText="1"/>
      <protection/>
    </xf>
    <xf numFmtId="0" fontId="10" fillId="0" borderId="24" xfId="33" applyFont="1" applyBorder="1" applyAlignment="1">
      <alignment horizontal="left" vertical="center" wrapText="1"/>
      <protection/>
    </xf>
    <xf numFmtId="0" fontId="10" fillId="0" borderId="24" xfId="33" applyFont="1" applyBorder="1" applyAlignment="1">
      <alignment vertical="center" wrapText="1"/>
      <protection/>
    </xf>
    <xf numFmtId="3" fontId="10" fillId="2" borderId="24" xfId="29" applyNumberFormat="1" applyFont="1" applyFill="1" applyBorder="1" applyAlignment="1">
      <alignment horizontal="right" vertical="center" wrapText="1"/>
      <protection/>
    </xf>
    <xf numFmtId="3" fontId="10" fillId="2" borderId="25" xfId="29" applyNumberFormat="1" applyFont="1" applyFill="1" applyBorder="1" applyAlignment="1">
      <alignment horizontal="right" vertical="center" wrapText="1"/>
      <protection/>
    </xf>
    <xf numFmtId="3" fontId="10" fillId="0" borderId="24" xfId="0" applyNumberFormat="1" applyFont="1" applyBorder="1" applyAlignment="1">
      <alignment horizontal="right" vertical="center" wrapText="1"/>
    </xf>
    <xf numFmtId="3" fontId="10" fillId="0" borderId="25" xfId="0" applyNumberFormat="1" applyFont="1" applyBorder="1" applyAlignment="1">
      <alignment horizontal="right" vertical="center" wrapText="1"/>
    </xf>
    <xf numFmtId="3" fontId="17" fillId="2" borderId="24" xfId="29" applyNumberFormat="1" applyFont="1" applyFill="1" applyBorder="1" applyAlignment="1">
      <alignment horizontal="right" vertical="center" wrapText="1"/>
      <protection/>
    </xf>
    <xf numFmtId="3" fontId="17" fillId="2" borderId="25" xfId="29" applyNumberFormat="1" applyFont="1" applyFill="1" applyBorder="1" applyAlignment="1">
      <alignment horizontal="right" vertical="center" wrapText="1"/>
      <protection/>
    </xf>
    <xf numFmtId="3" fontId="10" fillId="0" borderId="24" xfId="28" applyNumberFormat="1" applyFont="1" applyFill="1" applyBorder="1" applyAlignment="1">
      <alignment horizontal="right" vertical="center" wrapText="1"/>
      <protection/>
    </xf>
    <xf numFmtId="3" fontId="10" fillId="0" borderId="25" xfId="28" applyNumberFormat="1" applyFont="1" applyFill="1" applyBorder="1" applyAlignment="1">
      <alignment horizontal="right" vertical="center" wrapText="1"/>
      <protection/>
    </xf>
    <xf numFmtId="3" fontId="10" fillId="2" borderId="24" xfId="28" applyNumberFormat="1" applyFont="1" applyFill="1" applyBorder="1" applyAlignment="1">
      <alignment horizontal="right" vertical="center" wrapText="1"/>
      <protection/>
    </xf>
    <xf numFmtId="3" fontId="10" fillId="2" borderId="25" xfId="28" applyNumberFormat="1" applyFont="1" applyFill="1" applyBorder="1" applyAlignment="1">
      <alignment horizontal="right" vertical="center" wrapText="1"/>
      <protection/>
    </xf>
    <xf numFmtId="3" fontId="10" fillId="0" borderId="24" xfId="33" applyNumberFormat="1" applyFont="1" applyBorder="1" applyAlignment="1">
      <alignment horizontal="right" vertical="center"/>
      <protection/>
    </xf>
    <xf numFmtId="3" fontId="11" fillId="0" borderId="24" xfId="33" applyNumberFormat="1" applyFont="1" applyBorder="1" applyAlignment="1">
      <alignment horizontal="right" vertical="center" wrapText="1"/>
      <protection/>
    </xf>
    <xf numFmtId="3" fontId="11" fillId="0" borderId="25" xfId="33" applyNumberFormat="1" applyFont="1" applyBorder="1" applyAlignment="1">
      <alignment horizontal="right" vertical="center" wrapText="1"/>
      <protection/>
    </xf>
    <xf numFmtId="3" fontId="10" fillId="0" borderId="24" xfId="28" applyNumberFormat="1" applyFont="1" applyFill="1" applyBorder="1" applyAlignment="1">
      <alignment horizontal="right" vertical="center"/>
      <protection/>
    </xf>
    <xf numFmtId="3" fontId="10" fillId="0" borderId="25" xfId="28" applyNumberFormat="1" applyFont="1" applyFill="1" applyBorder="1" applyAlignment="1">
      <alignment horizontal="right" vertical="center"/>
      <protection/>
    </xf>
    <xf numFmtId="3" fontId="10" fillId="0" borderId="24" xfId="33" applyNumberFormat="1" applyFont="1" applyBorder="1" applyAlignment="1">
      <alignment horizontal="right" vertical="center" wrapText="1"/>
      <protection/>
    </xf>
    <xf numFmtId="3" fontId="10" fillId="0" borderId="25" xfId="33" applyNumberFormat="1" applyFont="1" applyBorder="1" applyAlignment="1">
      <alignment horizontal="right" vertical="center" wrapText="1"/>
      <protection/>
    </xf>
    <xf numFmtId="3" fontId="10" fillId="2" borderId="23" xfId="29" applyNumberFormat="1" applyFont="1" applyFill="1" applyBorder="1" applyAlignment="1">
      <alignment horizontal="right" vertical="center" wrapText="1"/>
      <protection/>
    </xf>
    <xf numFmtId="3" fontId="11" fillId="0" borderId="85" xfId="33" applyNumberFormat="1" applyFont="1" applyBorder="1" applyAlignment="1">
      <alignment horizontal="center" vertical="center" wrapText="1"/>
      <protection/>
    </xf>
    <xf numFmtId="3" fontId="11" fillId="0" borderId="36" xfId="33" applyNumberFormat="1" applyFont="1" applyBorder="1" applyAlignment="1">
      <alignment horizontal="center" vertical="center" wrapText="1"/>
      <protection/>
    </xf>
    <xf numFmtId="3" fontId="11" fillId="0" borderId="23" xfId="28" applyNumberFormat="1" applyFont="1" applyFill="1" applyBorder="1" applyAlignment="1">
      <alignment horizontal="right" vertical="center"/>
      <protection/>
    </xf>
    <xf numFmtId="3" fontId="11" fillId="0" borderId="25" xfId="28" applyNumberFormat="1" applyFont="1" applyFill="1" applyBorder="1" applyAlignment="1">
      <alignment horizontal="right" vertical="center"/>
      <protection/>
    </xf>
    <xf numFmtId="0" fontId="11" fillId="0" borderId="44" xfId="33" applyFont="1" applyBorder="1" applyAlignment="1">
      <alignment horizontal="left" vertical="center"/>
      <protection/>
    </xf>
    <xf numFmtId="3" fontId="11" fillId="0" borderId="38" xfId="33" applyNumberFormat="1" applyFont="1" applyBorder="1" applyAlignment="1">
      <alignment horizontal="right" vertical="center"/>
      <protection/>
    </xf>
    <xf numFmtId="3" fontId="11" fillId="0" borderId="39" xfId="33" applyNumberFormat="1" applyFont="1" applyBorder="1" applyAlignment="1">
      <alignment horizontal="right" vertical="center"/>
      <protection/>
    </xf>
    <xf numFmtId="3" fontId="11" fillId="0" borderId="90" xfId="33" applyNumberFormat="1" applyFont="1" applyBorder="1" applyAlignment="1">
      <alignment horizontal="right" vertical="center"/>
      <protection/>
    </xf>
    <xf numFmtId="3" fontId="11" fillId="0" borderId="34" xfId="33" applyNumberFormat="1" applyFont="1" applyBorder="1" applyAlignment="1">
      <alignment horizontal="center" vertical="center" wrapText="1"/>
      <protection/>
    </xf>
    <xf numFmtId="3" fontId="11" fillId="0" borderId="24" xfId="28" applyNumberFormat="1" applyFont="1" applyFill="1" applyBorder="1" applyAlignment="1">
      <alignment horizontal="right" vertical="center"/>
      <protection/>
    </xf>
    <xf numFmtId="3" fontId="11" fillId="0" borderId="44" xfId="33" applyNumberFormat="1" applyFont="1" applyBorder="1" applyAlignment="1">
      <alignment horizontal="right" vertical="center"/>
      <protection/>
    </xf>
    <xf numFmtId="3" fontId="11" fillId="0" borderId="37" xfId="33" applyNumberFormat="1" applyFont="1" applyBorder="1" applyAlignment="1">
      <alignment horizontal="center" vertical="center" wrapText="1"/>
      <protection/>
    </xf>
    <xf numFmtId="3" fontId="11" fillId="0" borderId="88" xfId="33" applyNumberFormat="1" applyFont="1" applyBorder="1" applyAlignment="1">
      <alignment horizontal="right" vertical="center"/>
      <protection/>
    </xf>
    <xf numFmtId="3" fontId="11" fillId="0" borderId="34" xfId="33" applyNumberFormat="1" applyFont="1" applyBorder="1" applyAlignment="1">
      <alignment horizontal="center" vertical="center" wrapText="1"/>
      <protection/>
    </xf>
    <xf numFmtId="0" fontId="10" fillId="2" borderId="91" xfId="28" applyFont="1" applyFill="1" applyBorder="1" applyAlignment="1">
      <alignment vertical="center" wrapText="1"/>
      <protection/>
    </xf>
    <xf numFmtId="49" fontId="10" fillId="2" borderId="91" xfId="29" applyNumberFormat="1" applyFont="1" applyFill="1" applyBorder="1" applyAlignment="1">
      <alignment horizontal="left" vertical="center" wrapText="1"/>
      <protection/>
    </xf>
    <xf numFmtId="0" fontId="10" fillId="0" borderId="91" xfId="0" applyFont="1" applyBorder="1" applyAlignment="1">
      <alignment vertical="center" wrapText="1"/>
    </xf>
    <xf numFmtId="49" fontId="17" fillId="2" borderId="91" xfId="29" applyNumberFormat="1" applyFont="1" applyFill="1" applyBorder="1" applyAlignment="1">
      <alignment horizontal="left" vertical="center" wrapText="1"/>
      <protection/>
    </xf>
    <xf numFmtId="0" fontId="10" fillId="0" borderId="91" xfId="33" applyFont="1" applyBorder="1" applyAlignment="1">
      <alignment horizontal="left" vertical="center" wrapText="1"/>
      <protection/>
    </xf>
    <xf numFmtId="0" fontId="10" fillId="0" borderId="91" xfId="33" applyFont="1" applyBorder="1" applyAlignment="1">
      <alignment vertical="center" wrapText="1"/>
      <protection/>
    </xf>
    <xf numFmtId="0" fontId="11" fillId="0" borderId="62" xfId="33" applyFont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vertical="center" wrapText="1"/>
    </xf>
    <xf numFmtId="3" fontId="32" fillId="0" borderId="92" xfId="0" applyNumberFormat="1" applyFont="1" applyBorder="1" applyAlignment="1">
      <alignment vertical="center" wrapText="1"/>
    </xf>
    <xf numFmtId="0" fontId="32" fillId="0" borderId="0" xfId="35" applyFont="1" applyAlignment="1">
      <alignment vertical="center"/>
      <protection/>
    </xf>
    <xf numFmtId="3" fontId="11" fillId="0" borderId="92" xfId="0" applyNumberFormat="1" applyFont="1" applyBorder="1" applyAlignment="1">
      <alignment vertical="center" wrapText="1"/>
    </xf>
    <xf numFmtId="3" fontId="10" fillId="0" borderId="92" xfId="0" applyNumberFormat="1" applyFont="1" applyBorder="1" applyAlignment="1">
      <alignment vertical="center" wrapText="1"/>
    </xf>
    <xf numFmtId="0" fontId="11" fillId="0" borderId="0" xfId="35" applyFont="1" applyAlignment="1">
      <alignment vertical="center"/>
      <protection/>
    </xf>
    <xf numFmtId="3" fontId="10" fillId="0" borderId="93" xfId="0" applyNumberFormat="1" applyFont="1" applyBorder="1" applyAlignment="1">
      <alignment vertical="center" wrapText="1"/>
    </xf>
    <xf numFmtId="3" fontId="11" fillId="0" borderId="48" xfId="0" applyNumberFormat="1" applyFont="1" applyBorder="1" applyAlignment="1">
      <alignment vertical="center" wrapText="1"/>
    </xf>
    <xf numFmtId="3" fontId="11" fillId="0" borderId="94" xfId="35" applyNumberFormat="1" applyFont="1" applyBorder="1" applyAlignment="1">
      <alignment vertical="center" wrapText="1"/>
      <protection/>
    </xf>
    <xf numFmtId="3" fontId="11" fillId="0" borderId="94" xfId="35" applyNumberFormat="1" applyFont="1" applyBorder="1" applyAlignment="1">
      <alignment vertical="center"/>
      <protection/>
    </xf>
    <xf numFmtId="3" fontId="10" fillId="0" borderId="0" xfId="35" applyNumberFormat="1" applyFont="1" applyAlignment="1">
      <alignment vertical="center" wrapText="1"/>
      <protection/>
    </xf>
    <xf numFmtId="3" fontId="10" fillId="0" borderId="0" xfId="35" applyNumberFormat="1" applyFont="1" applyAlignment="1">
      <alignment vertical="center"/>
      <protection/>
    </xf>
    <xf numFmtId="3" fontId="11" fillId="0" borderId="44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32" fillId="0" borderId="24" xfId="0" applyNumberFormat="1" applyFont="1" applyBorder="1" applyAlignment="1">
      <alignment vertical="center"/>
    </xf>
    <xf numFmtId="3" fontId="32" fillId="0" borderId="23" xfId="0" applyNumberFormat="1" applyFont="1" applyBorder="1" applyAlignment="1">
      <alignment vertical="center"/>
    </xf>
    <xf numFmtId="3" fontId="32" fillId="0" borderId="25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2" borderId="24" xfId="0" applyNumberFormat="1" applyFont="1" applyFill="1" applyBorder="1" applyAlignment="1">
      <alignment vertical="center"/>
    </xf>
    <xf numFmtId="3" fontId="10" fillId="2" borderId="23" xfId="0" applyNumberFormat="1" applyFont="1" applyFill="1" applyBorder="1" applyAlignment="1">
      <alignment vertical="center"/>
    </xf>
    <xf numFmtId="3" fontId="10" fillId="2" borderId="25" xfId="0" applyNumberFormat="1" applyFont="1" applyFill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0" fontId="10" fillId="0" borderId="0" xfId="36" applyFont="1" applyAlignment="1">
      <alignment vertical="center" wrapText="1"/>
      <protection/>
    </xf>
    <xf numFmtId="0" fontId="10" fillId="0" borderId="0" xfId="36" applyFont="1" applyAlignment="1">
      <alignment vertical="center"/>
      <protection/>
    </xf>
    <xf numFmtId="0" fontId="10" fillId="0" borderId="0" xfId="36" applyFont="1" applyAlignment="1">
      <alignment horizontal="center" vertical="center" wrapText="1"/>
      <protection/>
    </xf>
    <xf numFmtId="3" fontId="10" fillId="0" borderId="0" xfId="36" applyNumberFormat="1" applyFont="1" applyAlignment="1">
      <alignment vertical="center"/>
      <protection/>
    </xf>
    <xf numFmtId="3" fontId="10" fillId="0" borderId="0" xfId="36" applyNumberFormat="1" applyFont="1" applyAlignment="1">
      <alignment vertical="center" wrapText="1"/>
      <protection/>
    </xf>
    <xf numFmtId="0" fontId="11" fillId="0" borderId="44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38" xfId="0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30" fillId="0" borderId="24" xfId="0" applyNumberFormat="1" applyFont="1" applyBorder="1" applyAlignment="1">
      <alignment horizontal="right" vertical="center" wrapText="1"/>
    </xf>
    <xf numFmtId="3" fontId="9" fillId="0" borderId="32" xfId="32" applyNumberFormat="1" applyFont="1" applyBorder="1" applyAlignment="1">
      <alignment horizontal="right"/>
      <protection/>
    </xf>
    <xf numFmtId="3" fontId="9" fillId="0" borderId="30" xfId="32" applyNumberFormat="1" applyFont="1" applyBorder="1" applyAlignment="1">
      <alignment horizontal="right"/>
      <protection/>
    </xf>
    <xf numFmtId="3" fontId="9" fillId="0" borderId="77" xfId="32" applyNumberFormat="1" applyFont="1" applyBorder="1" applyAlignment="1">
      <alignment horizontal="right"/>
      <protection/>
    </xf>
    <xf numFmtId="3" fontId="9" fillId="0" borderId="29" xfId="32" applyNumberFormat="1" applyFont="1" applyBorder="1" applyAlignment="1">
      <alignment horizontal="right"/>
      <protection/>
    </xf>
    <xf numFmtId="3" fontId="9" fillId="0" borderId="31" xfId="32" applyNumberFormat="1" applyFont="1" applyBorder="1" applyAlignment="1">
      <alignment horizontal="right"/>
      <protection/>
    </xf>
    <xf numFmtId="3" fontId="14" fillId="0" borderId="32" xfId="32" applyNumberFormat="1" applyFont="1" applyBorder="1" applyAlignment="1">
      <alignment horizontal="right"/>
      <protection/>
    </xf>
    <xf numFmtId="3" fontId="14" fillId="0" borderId="30" xfId="32" applyNumberFormat="1" applyFont="1" applyBorder="1" applyAlignment="1">
      <alignment horizontal="right"/>
      <protection/>
    </xf>
    <xf numFmtId="3" fontId="14" fillId="0" borderId="31" xfId="32" applyNumberFormat="1" applyFont="1" applyBorder="1" applyAlignment="1">
      <alignment horizontal="right"/>
      <protection/>
    </xf>
    <xf numFmtId="3" fontId="14" fillId="0" borderId="0" xfId="32" applyNumberFormat="1" applyFont="1" applyBorder="1" applyAlignment="1">
      <alignment horizontal="right"/>
      <protection/>
    </xf>
    <xf numFmtId="0" fontId="33" fillId="0" borderId="0" xfId="0" applyFont="1" applyBorder="1"/>
    <xf numFmtId="3" fontId="9" fillId="0" borderId="33" xfId="32" applyNumberFormat="1" applyFont="1" applyBorder="1" applyAlignment="1">
      <alignment horizontal="right"/>
      <protection/>
    </xf>
    <xf numFmtId="3" fontId="9" fillId="0" borderId="23" xfId="32" applyNumberFormat="1" applyFont="1" applyBorder="1" applyAlignment="1">
      <alignment horizontal="right"/>
      <protection/>
    </xf>
    <xf numFmtId="3" fontId="9" fillId="0" borderId="78" xfId="32" applyNumberFormat="1" applyFont="1" applyBorder="1" applyAlignment="1">
      <alignment horizontal="right"/>
      <protection/>
    </xf>
    <xf numFmtId="3" fontId="9" fillId="0" borderId="24" xfId="32" applyNumberFormat="1" applyFont="1" applyBorder="1" applyAlignment="1">
      <alignment horizontal="right"/>
      <protection/>
    </xf>
    <xf numFmtId="3" fontId="9" fillId="0" borderId="25" xfId="32" applyNumberFormat="1" applyFont="1" applyBorder="1" applyAlignment="1">
      <alignment horizontal="right"/>
      <protection/>
    </xf>
    <xf numFmtId="3" fontId="14" fillId="0" borderId="33" xfId="32" applyNumberFormat="1" applyFont="1" applyBorder="1" applyAlignment="1">
      <alignment horizontal="right"/>
      <protection/>
    </xf>
    <xf numFmtId="3" fontId="14" fillId="0" borderId="23" xfId="32" applyNumberFormat="1" applyFont="1" applyBorder="1" applyAlignment="1">
      <alignment horizontal="right"/>
      <protection/>
    </xf>
    <xf numFmtId="3" fontId="14" fillId="0" borderId="25" xfId="32" applyNumberFormat="1" applyFont="1" applyBorder="1" applyAlignment="1">
      <alignment horizontal="right"/>
      <protection/>
    </xf>
    <xf numFmtId="0" fontId="24" fillId="0" borderId="0" xfId="0" applyFont="1" applyFill="1" applyAlignment="1">
      <alignment vertical="center"/>
    </xf>
    <xf numFmtId="166" fontId="18" fillId="0" borderId="32" xfId="27" applyNumberFormat="1" applyFont="1" applyFill="1" applyBorder="1" applyAlignment="1">
      <alignment vertical="center"/>
      <protection/>
    </xf>
    <xf numFmtId="165" fontId="17" fillId="0" borderId="37" xfId="27" applyFont="1" applyFill="1" applyBorder="1" applyAlignment="1">
      <alignment vertical="center" wrapText="1"/>
      <protection/>
    </xf>
    <xf numFmtId="166" fontId="24" fillId="0" borderId="0" xfId="0" applyNumberFormat="1" applyFont="1" applyFill="1"/>
    <xf numFmtId="3" fontId="20" fillId="0" borderId="33" xfId="25" applyNumberFormat="1" applyFont="1" applyBorder="1" applyAlignment="1">
      <alignment horizontal="right" vertical="center"/>
      <protection/>
    </xf>
    <xf numFmtId="3" fontId="20" fillId="0" borderId="33" xfId="25" applyNumberFormat="1" applyFont="1" applyBorder="1" applyAlignment="1" applyProtection="1">
      <alignment horizontal="right" vertical="center"/>
      <protection/>
    </xf>
    <xf numFmtId="3" fontId="20" fillId="0" borderId="33" xfId="25" applyNumberFormat="1" applyFont="1" applyBorder="1" applyAlignment="1">
      <alignment vertical="center"/>
      <protection/>
    </xf>
    <xf numFmtId="3" fontId="21" fillId="0" borderId="33" xfId="25" applyNumberFormat="1" applyFont="1" applyBorder="1" applyAlignment="1" applyProtection="1">
      <alignment vertical="center"/>
      <protection/>
    </xf>
    <xf numFmtId="3" fontId="21" fillId="0" borderId="28" xfId="25" applyNumberFormat="1" applyFont="1" applyBorder="1" applyAlignment="1" applyProtection="1">
      <alignment vertical="center"/>
      <protection/>
    </xf>
    <xf numFmtId="3" fontId="21" fillId="0" borderId="33" xfId="25" applyNumberFormat="1" applyFont="1" applyBorder="1" applyAlignment="1">
      <alignment vertical="center"/>
      <protection/>
    </xf>
    <xf numFmtId="3" fontId="21" fillId="0" borderId="28" xfId="25" applyNumberFormat="1" applyFont="1" applyBorder="1" applyAlignment="1">
      <alignment vertical="center"/>
      <protection/>
    </xf>
    <xf numFmtId="3" fontId="21" fillId="0" borderId="33" xfId="25" applyNumberFormat="1" applyFont="1" applyFill="1" applyBorder="1" applyAlignment="1">
      <alignment vertical="center"/>
      <protection/>
    </xf>
    <xf numFmtId="3" fontId="21" fillId="0" borderId="81" xfId="25" applyNumberFormat="1" applyFont="1" applyBorder="1" applyAlignment="1">
      <alignment vertical="center"/>
      <protection/>
    </xf>
    <xf numFmtId="3" fontId="21" fillId="0" borderId="81" xfId="25" applyNumberFormat="1" applyFont="1" applyBorder="1" applyAlignment="1" applyProtection="1">
      <alignment horizontal="right" vertical="center"/>
      <protection/>
    </xf>
    <xf numFmtId="3" fontId="21" fillId="0" borderId="86" xfId="25" applyNumberFormat="1" applyFont="1" applyBorder="1" applyAlignment="1">
      <alignment vertical="center"/>
      <protection/>
    </xf>
    <xf numFmtId="3" fontId="21" fillId="0" borderId="81" xfId="25" applyNumberFormat="1" applyFont="1" applyBorder="1" applyAlignment="1" applyProtection="1">
      <alignment vertical="center"/>
      <protection/>
    </xf>
    <xf numFmtId="3" fontId="21" fillId="0" borderId="81" xfId="25" applyNumberFormat="1" applyFont="1" applyFill="1" applyBorder="1" applyAlignment="1">
      <alignment vertical="center"/>
      <protection/>
    </xf>
    <xf numFmtId="0" fontId="28" fillId="0" borderId="0" xfId="0" applyFont="1" applyAlignment="1">
      <alignment vertical="center"/>
    </xf>
    <xf numFmtId="3" fontId="17" fillId="0" borderId="33" xfId="24" applyNumberFormat="1" applyFont="1" applyFill="1" applyBorder="1" applyAlignment="1">
      <alignment vertical="center"/>
      <protection/>
    </xf>
    <xf numFmtId="3" fontId="17" fillId="0" borderId="33" xfId="24" applyNumberFormat="1" applyFont="1" applyFill="1" applyBorder="1" applyAlignment="1">
      <alignment horizontal="right" vertical="center"/>
      <protection/>
    </xf>
    <xf numFmtId="3" fontId="18" fillId="0" borderId="33" xfId="24" applyNumberFormat="1" applyFont="1" applyFill="1" applyBorder="1" applyAlignment="1">
      <alignment vertical="center"/>
      <protection/>
    </xf>
    <xf numFmtId="3" fontId="18" fillId="0" borderId="28" xfId="24" applyNumberFormat="1" applyFont="1" applyFill="1" applyBorder="1" applyAlignment="1">
      <alignment vertical="center"/>
      <protection/>
    </xf>
    <xf numFmtId="3" fontId="18" fillId="0" borderId="81" xfId="24" applyNumberFormat="1" applyFont="1" applyFill="1" applyBorder="1" applyAlignment="1">
      <alignment vertical="center"/>
      <protection/>
    </xf>
    <xf numFmtId="3" fontId="18" fillId="0" borderId="86" xfId="24" applyNumberFormat="1" applyFont="1" applyFill="1" applyBorder="1" applyAlignment="1">
      <alignment vertical="center"/>
      <protection/>
    </xf>
    <xf numFmtId="0" fontId="18" fillId="0" borderId="82" xfId="24" applyFont="1" applyFill="1" applyBorder="1" applyAlignment="1">
      <alignment horizontal="left" vertical="center"/>
      <protection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49" xfId="0" applyNumberFormat="1" applyFont="1" applyBorder="1" applyAlignment="1">
      <alignment vertical="center"/>
    </xf>
    <xf numFmtId="3" fontId="19" fillId="0" borderId="46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3" fontId="11" fillId="0" borderId="55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3" fillId="0" borderId="27" xfId="20" applyFont="1" applyFill="1" applyBorder="1" applyAlignment="1">
      <alignment horizontal="center" vertical="center" wrapText="1"/>
      <protection/>
    </xf>
    <xf numFmtId="3" fontId="3" fillId="0" borderId="23" xfId="20" applyNumberFormat="1" applyFont="1" applyBorder="1" applyAlignment="1">
      <alignment vertical="center"/>
      <protection/>
    </xf>
    <xf numFmtId="3" fontId="3" fillId="0" borderId="25" xfId="20" applyNumberFormat="1" applyFont="1" applyBorder="1" applyAlignment="1">
      <alignment vertical="center"/>
      <protection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9" fontId="5" fillId="0" borderId="24" xfId="20" applyNumberFormat="1" applyFont="1" applyBorder="1" applyAlignment="1">
      <alignment vertical="center" wrapText="1"/>
      <protection/>
    </xf>
    <xf numFmtId="3" fontId="5" fillId="0" borderId="23" xfId="20" applyNumberFormat="1" applyFont="1" applyFill="1" applyBorder="1" applyAlignment="1">
      <alignment vertical="center"/>
      <protection/>
    </xf>
    <xf numFmtId="3" fontId="5" fillId="0" borderId="25" xfId="20" applyNumberFormat="1" applyFont="1" applyFill="1" applyBorder="1" applyAlignment="1">
      <alignment vertical="center"/>
      <protection/>
    </xf>
    <xf numFmtId="49" fontId="5" fillId="0" borderId="24" xfId="20" applyNumberFormat="1" applyFont="1" applyBorder="1" applyAlignment="1">
      <alignment vertical="center" wrapText="1"/>
      <protection/>
    </xf>
    <xf numFmtId="3" fontId="5" fillId="0" borderId="23" xfId="20" applyNumberFormat="1" applyFont="1" applyBorder="1" applyAlignment="1">
      <alignment vertical="center"/>
      <protection/>
    </xf>
    <xf numFmtId="3" fontId="5" fillId="0" borderId="25" xfId="20" applyNumberFormat="1" applyFont="1" applyBorder="1" applyAlignment="1">
      <alignment vertical="center"/>
      <protection/>
    </xf>
    <xf numFmtId="0" fontId="17" fillId="0" borderId="77" xfId="24" applyFont="1" applyFill="1" applyBorder="1" applyAlignment="1">
      <alignment horizontal="left" vertical="center"/>
      <protection/>
    </xf>
    <xf numFmtId="3" fontId="18" fillId="0" borderId="80" xfId="24" applyNumberFormat="1" applyFont="1" applyFill="1" applyBorder="1" applyAlignment="1">
      <alignment vertical="center"/>
      <protection/>
    </xf>
    <xf numFmtId="3" fontId="17" fillId="0" borderId="32" xfId="24" applyNumberFormat="1" applyFont="1" applyFill="1" applyBorder="1" applyAlignment="1">
      <alignment vertical="center"/>
      <protection/>
    </xf>
    <xf numFmtId="3" fontId="17" fillId="0" borderId="30" xfId="24" applyNumberFormat="1" applyFont="1" applyFill="1" applyBorder="1" applyAlignment="1">
      <alignment vertical="center"/>
      <protection/>
    </xf>
    <xf numFmtId="0" fontId="17" fillId="0" borderId="30" xfId="24" applyFont="1" applyFill="1" applyBorder="1" applyAlignment="1">
      <alignment vertical="center"/>
      <protection/>
    </xf>
    <xf numFmtId="0" fontId="18" fillId="0" borderId="95" xfId="24" applyFont="1" applyFill="1" applyBorder="1" applyAlignment="1">
      <alignment horizontal="center" vertical="center" wrapText="1"/>
      <protection/>
    </xf>
    <xf numFmtId="0" fontId="18" fillId="0" borderId="96" xfId="24" applyFont="1" applyFill="1" applyBorder="1" applyAlignment="1">
      <alignment horizontal="center" vertical="center" wrapText="1"/>
      <protection/>
    </xf>
    <xf numFmtId="0" fontId="18" fillId="0" borderId="96" xfId="24" applyFont="1" applyFill="1" applyBorder="1" applyAlignment="1">
      <alignment horizontal="center" vertical="center"/>
      <protection/>
    </xf>
    <xf numFmtId="3" fontId="18" fillId="0" borderId="96" xfId="24" applyNumberFormat="1" applyFont="1" applyFill="1" applyBorder="1" applyAlignment="1">
      <alignment horizontal="center" vertical="center" wrapText="1"/>
      <protection/>
    </xf>
    <xf numFmtId="0" fontId="17" fillId="0" borderId="97" xfId="24" applyFont="1" applyFill="1" applyBorder="1" applyAlignment="1">
      <alignment horizontal="left" vertical="center"/>
      <protection/>
    </xf>
    <xf numFmtId="3" fontId="18" fillId="0" borderId="98" xfId="24" applyNumberFormat="1" applyFont="1" applyFill="1" applyBorder="1" applyAlignment="1">
      <alignment vertical="center"/>
      <protection/>
    </xf>
    <xf numFmtId="3" fontId="17" fillId="0" borderId="99" xfId="24" applyNumberFormat="1" applyFont="1" applyFill="1" applyBorder="1" applyAlignment="1">
      <alignment vertical="center"/>
      <protection/>
    </xf>
    <xf numFmtId="3" fontId="17" fillId="0" borderId="100" xfId="24" applyNumberFormat="1" applyFont="1" applyFill="1" applyBorder="1" applyAlignment="1">
      <alignment vertical="center"/>
      <protection/>
    </xf>
    <xf numFmtId="0" fontId="17" fillId="0" borderId="100" xfId="24" applyFont="1" applyFill="1" applyBorder="1" applyAlignment="1">
      <alignment vertical="center"/>
      <protection/>
    </xf>
    <xf numFmtId="0" fontId="17" fillId="0" borderId="101" xfId="24" applyFont="1" applyFill="1" applyBorder="1" applyAlignment="1">
      <alignment vertical="center"/>
      <protection/>
    </xf>
    <xf numFmtId="0" fontId="17" fillId="0" borderId="102" xfId="24" applyFont="1" applyFill="1" applyBorder="1" applyAlignment="1">
      <alignment vertical="center"/>
      <protection/>
    </xf>
    <xf numFmtId="3" fontId="17" fillId="0" borderId="23" xfId="24" applyNumberFormat="1" applyFont="1" applyFill="1" applyBorder="1" applyAlignment="1">
      <alignment vertical="center"/>
      <protection/>
    </xf>
    <xf numFmtId="0" fontId="17" fillId="0" borderId="23" xfId="24" applyFont="1" applyFill="1" applyBorder="1" applyAlignment="1">
      <alignment vertical="center"/>
      <protection/>
    </xf>
    <xf numFmtId="0" fontId="17" fillId="0" borderId="103" xfId="24" applyFont="1" applyFill="1" applyBorder="1" applyAlignment="1">
      <alignment vertical="center"/>
      <protection/>
    </xf>
    <xf numFmtId="3" fontId="17" fillId="0" borderId="23" xfId="24" applyNumberFormat="1" applyFont="1" applyFill="1" applyBorder="1" applyAlignment="1">
      <alignment horizontal="right" vertical="center"/>
      <protection/>
    </xf>
    <xf numFmtId="3" fontId="17" fillId="0" borderId="103" xfId="24" applyNumberFormat="1" applyFont="1" applyFill="1" applyBorder="1" applyAlignment="1">
      <alignment vertical="center"/>
      <protection/>
    </xf>
    <xf numFmtId="0" fontId="17" fillId="0" borderId="23" xfId="24" applyFont="1" applyFill="1" applyBorder="1" applyAlignment="1">
      <alignment horizontal="right" vertical="center"/>
      <protection/>
    </xf>
    <xf numFmtId="3" fontId="18" fillId="0" borderId="83" xfId="24" applyNumberFormat="1" applyFont="1" applyFill="1" applyBorder="1" applyAlignment="1">
      <alignment vertical="center"/>
      <protection/>
    </xf>
    <xf numFmtId="3" fontId="18" fillId="0" borderId="84" xfId="24" applyNumberFormat="1" applyFont="1" applyFill="1" applyBorder="1" applyAlignment="1">
      <alignment vertical="center"/>
      <protection/>
    </xf>
    <xf numFmtId="3" fontId="18" fillId="0" borderId="104" xfId="24" applyNumberFormat="1" applyFont="1" applyFill="1" applyBorder="1" applyAlignment="1">
      <alignment vertical="center"/>
      <protection/>
    </xf>
    <xf numFmtId="0" fontId="18" fillId="0" borderId="78" xfId="24" applyFont="1" applyFill="1" applyBorder="1" applyAlignment="1">
      <alignment vertical="center"/>
      <protection/>
    </xf>
    <xf numFmtId="3" fontId="18" fillId="0" borderId="23" xfId="24" applyNumberFormat="1" applyFont="1" applyFill="1" applyBorder="1" applyAlignment="1">
      <alignment vertical="center"/>
      <protection/>
    </xf>
    <xf numFmtId="3" fontId="18" fillId="0" borderId="103" xfId="24" applyNumberFormat="1" applyFont="1" applyFill="1" applyBorder="1" applyAlignment="1">
      <alignment vertical="center"/>
      <protection/>
    </xf>
    <xf numFmtId="3" fontId="18" fillId="0" borderId="27" xfId="24" applyNumberFormat="1" applyFont="1" applyFill="1" applyBorder="1" applyAlignment="1">
      <alignment vertical="center"/>
      <protection/>
    </xf>
    <xf numFmtId="3" fontId="18" fillId="0" borderId="105" xfId="24" applyNumberFormat="1" applyFont="1" applyFill="1" applyBorder="1" applyAlignment="1">
      <alignment vertical="center"/>
      <protection/>
    </xf>
    <xf numFmtId="0" fontId="18" fillId="0" borderId="77" xfId="24" applyFont="1" applyFill="1" applyBorder="1" applyAlignment="1">
      <alignment horizontal="left" vertical="center"/>
      <protection/>
    </xf>
    <xf numFmtId="3" fontId="18" fillId="0" borderId="32" xfId="24" applyNumberFormat="1" applyFont="1" applyFill="1" applyBorder="1" applyAlignment="1">
      <alignment vertical="center"/>
      <protection/>
    </xf>
    <xf numFmtId="3" fontId="18" fillId="0" borderId="30" xfId="24" applyNumberFormat="1" applyFont="1" applyFill="1" applyBorder="1" applyAlignment="1">
      <alignment vertical="center"/>
      <protection/>
    </xf>
    <xf numFmtId="3" fontId="18" fillId="0" borderId="102" xfId="24" applyNumberFormat="1" applyFont="1" applyFill="1" applyBorder="1" applyAlignment="1">
      <alignment vertical="center"/>
      <protection/>
    </xf>
    <xf numFmtId="3" fontId="18" fillId="0" borderId="37" xfId="24" applyNumberFormat="1" applyFont="1" applyFill="1" applyBorder="1" applyAlignment="1">
      <alignment vertical="center"/>
      <protection/>
    </xf>
    <xf numFmtId="3" fontId="18" fillId="0" borderId="35" xfId="24" applyNumberFormat="1" applyFont="1" applyFill="1" applyBorder="1" applyAlignment="1">
      <alignment vertical="center"/>
      <protection/>
    </xf>
    <xf numFmtId="3" fontId="18" fillId="0" borderId="106" xfId="24" applyNumberFormat="1" applyFont="1" applyFill="1" applyBorder="1" applyAlignment="1">
      <alignment vertical="center"/>
      <protection/>
    </xf>
    <xf numFmtId="3" fontId="18" fillId="0" borderId="107" xfId="24" applyNumberFormat="1" applyFont="1" applyFill="1" applyBorder="1" applyAlignment="1">
      <alignment vertical="center"/>
      <protection/>
    </xf>
    <xf numFmtId="3" fontId="18" fillId="0" borderId="95" xfId="24" applyNumberFormat="1" applyFont="1" applyFill="1" applyBorder="1" applyAlignment="1">
      <alignment vertical="center"/>
      <protection/>
    </xf>
    <xf numFmtId="3" fontId="18" fillId="0" borderId="96" xfId="24" applyNumberFormat="1" applyFont="1" applyFill="1" applyBorder="1" applyAlignment="1">
      <alignment vertical="center"/>
      <protection/>
    </xf>
    <xf numFmtId="3" fontId="18" fillId="0" borderId="108" xfId="24" applyNumberFormat="1" applyFont="1" applyFill="1" applyBorder="1" applyAlignment="1">
      <alignment vertical="center"/>
      <protection/>
    </xf>
    <xf numFmtId="3" fontId="18" fillId="0" borderId="89" xfId="24" applyNumberFormat="1" applyFont="1" applyFill="1" applyBorder="1" applyAlignment="1">
      <alignment vertical="center"/>
      <protection/>
    </xf>
    <xf numFmtId="3" fontId="17" fillId="0" borderId="37" xfId="24" applyNumberFormat="1" applyFont="1" applyFill="1" applyBorder="1" applyAlignment="1">
      <alignment horizontal="right" vertical="center"/>
      <protection/>
    </xf>
    <xf numFmtId="3" fontId="17" fillId="0" borderId="35" xfId="24" applyNumberFormat="1" applyFont="1" applyFill="1" applyBorder="1" applyAlignment="1">
      <alignment horizontal="right" vertical="center"/>
      <protection/>
    </xf>
    <xf numFmtId="0" fontId="17" fillId="0" borderId="35" xfId="24" applyFont="1" applyFill="1" applyBorder="1" applyAlignment="1">
      <alignment vertical="center"/>
      <protection/>
    </xf>
    <xf numFmtId="0" fontId="17" fillId="0" borderId="106" xfId="24" applyFont="1" applyFill="1" applyBorder="1" applyAlignment="1">
      <alignment vertical="center"/>
      <protection/>
    </xf>
    <xf numFmtId="0" fontId="18" fillId="0" borderId="97" xfId="24" applyFont="1" applyFill="1" applyBorder="1" applyAlignment="1">
      <alignment horizontal="left" vertical="center"/>
      <protection/>
    </xf>
    <xf numFmtId="3" fontId="18" fillId="0" borderId="99" xfId="24" applyNumberFormat="1" applyFont="1" applyFill="1" applyBorder="1" applyAlignment="1">
      <alignment vertical="center"/>
      <protection/>
    </xf>
    <xf numFmtId="3" fontId="18" fillId="0" borderId="100" xfId="24" applyNumberFormat="1" applyFont="1" applyFill="1" applyBorder="1" applyAlignment="1">
      <alignment vertical="center"/>
      <protection/>
    </xf>
    <xf numFmtId="3" fontId="18" fillId="0" borderId="101" xfId="24" applyNumberFormat="1" applyFont="1" applyFill="1" applyBorder="1" applyAlignment="1">
      <alignment vertical="center"/>
      <protection/>
    </xf>
    <xf numFmtId="3" fontId="17" fillId="0" borderId="32" xfId="24" applyNumberFormat="1" applyFont="1" applyFill="1" applyBorder="1" applyAlignment="1">
      <alignment horizontal="right" vertical="center"/>
      <protection/>
    </xf>
    <xf numFmtId="3" fontId="17" fillId="0" borderId="30" xfId="24" applyNumberFormat="1" applyFont="1" applyFill="1" applyBorder="1" applyAlignment="1">
      <alignment horizontal="right" vertical="center"/>
      <protection/>
    </xf>
    <xf numFmtId="0" fontId="17" fillId="0" borderId="75" xfId="24" applyFont="1" applyFill="1" applyBorder="1" applyAlignment="1">
      <alignment horizontal="left" vertical="center"/>
      <protection/>
    </xf>
    <xf numFmtId="3" fontId="17" fillId="0" borderId="83" xfId="24" applyNumberFormat="1" applyFont="1" applyFill="1" applyBorder="1" applyAlignment="1">
      <alignment horizontal="right" vertical="center"/>
      <protection/>
    </xf>
    <xf numFmtId="3" fontId="17" fillId="0" borderId="84" xfId="24" applyNumberFormat="1" applyFont="1" applyFill="1" applyBorder="1" applyAlignment="1">
      <alignment horizontal="right" vertical="center"/>
      <protection/>
    </xf>
    <xf numFmtId="0" fontId="17" fillId="0" borderId="84" xfId="24" applyFont="1" applyFill="1" applyBorder="1" applyAlignment="1">
      <alignment vertical="center"/>
      <protection/>
    </xf>
    <xf numFmtId="0" fontId="17" fillId="0" borderId="104" xfId="24" applyFont="1" applyFill="1" applyBorder="1" applyAlignment="1">
      <alignment vertical="center"/>
      <protection/>
    </xf>
    <xf numFmtId="3" fontId="18" fillId="0" borderId="109" xfId="24" applyNumberFormat="1" applyFont="1" applyFill="1" applyBorder="1" applyAlignment="1">
      <alignment vertical="center"/>
      <protection/>
    </xf>
    <xf numFmtId="3" fontId="17" fillId="0" borderId="28" xfId="24" applyNumberFormat="1" applyFont="1" applyFill="1" applyBorder="1" applyAlignment="1">
      <alignment horizontal="right" vertical="center"/>
      <protection/>
    </xf>
    <xf numFmtId="3" fontId="17" fillId="0" borderId="27" xfId="24" applyNumberFormat="1" applyFont="1" applyFill="1" applyBorder="1" applyAlignment="1">
      <alignment horizontal="right" vertical="center"/>
      <protection/>
    </xf>
    <xf numFmtId="0" fontId="17" fillId="0" borderId="27" xfId="24" applyFont="1" applyFill="1" applyBorder="1" applyAlignment="1">
      <alignment vertical="center"/>
      <protection/>
    </xf>
    <xf numFmtId="0" fontId="17" fillId="0" borderId="105" xfId="24" applyFont="1" applyFill="1" applyBorder="1" applyAlignment="1">
      <alignment vertical="center"/>
      <protection/>
    </xf>
    <xf numFmtId="3" fontId="21" fillId="0" borderId="80" xfId="25" applyNumberFormat="1" applyFont="1" applyBorder="1" applyAlignment="1">
      <alignment vertical="center"/>
      <protection/>
    </xf>
    <xf numFmtId="3" fontId="20" fillId="0" borderId="32" xfId="25" applyNumberFormat="1" applyFont="1" applyBorder="1" applyAlignment="1">
      <alignment vertical="center"/>
      <protection/>
    </xf>
    <xf numFmtId="3" fontId="20" fillId="0" borderId="30" xfId="25" applyNumberFormat="1" applyFont="1" applyBorder="1" applyAlignment="1">
      <alignment vertical="center"/>
      <protection/>
    </xf>
    <xf numFmtId="0" fontId="20" fillId="0" borderId="102" xfId="25" applyFont="1" applyBorder="1" applyAlignment="1">
      <alignment vertical="center"/>
      <protection/>
    </xf>
    <xf numFmtId="3" fontId="20" fillId="0" borderId="23" xfId="25" applyNumberFormat="1" applyFont="1" applyBorder="1" applyAlignment="1">
      <alignment horizontal="right" vertical="center"/>
      <protection/>
    </xf>
    <xf numFmtId="0" fontId="20" fillId="0" borderId="103" xfId="25" applyFont="1" applyBorder="1" applyAlignment="1">
      <alignment vertical="center"/>
      <protection/>
    </xf>
    <xf numFmtId="3" fontId="20" fillId="0" borderId="23" xfId="25" applyNumberFormat="1" applyFont="1" applyBorder="1" applyAlignment="1" applyProtection="1">
      <alignment horizontal="right" vertical="center"/>
      <protection/>
    </xf>
    <xf numFmtId="0" fontId="20" fillId="0" borderId="78" xfId="24" applyFont="1" applyBorder="1" applyAlignment="1">
      <alignment horizontal="left" vertical="center"/>
      <protection/>
    </xf>
    <xf numFmtId="3" fontId="20" fillId="0" borderId="23" xfId="25" applyNumberFormat="1" applyFont="1" applyBorder="1" applyAlignment="1">
      <alignment vertical="center"/>
      <protection/>
    </xf>
    <xf numFmtId="3" fontId="21" fillId="0" borderId="23" xfId="25" applyNumberFormat="1" applyFont="1" applyBorder="1" applyAlignment="1">
      <alignment vertical="center"/>
      <protection/>
    </xf>
    <xf numFmtId="0" fontId="20" fillId="0" borderId="85" xfId="24" applyFont="1" applyBorder="1" applyAlignment="1">
      <alignment horizontal="left" vertical="center"/>
      <protection/>
    </xf>
    <xf numFmtId="3" fontId="21" fillId="0" borderId="86" xfId="25" applyNumberFormat="1" applyFont="1" applyBorder="1" applyAlignment="1" applyProtection="1">
      <alignment horizontal="right" vertical="center"/>
      <protection/>
    </xf>
    <xf numFmtId="3" fontId="20" fillId="0" borderId="37" xfId="25" applyNumberFormat="1" applyFont="1" applyBorder="1" applyAlignment="1">
      <alignment horizontal="right" vertical="center"/>
      <protection/>
    </xf>
    <xf numFmtId="3" fontId="20" fillId="0" borderId="35" xfId="25" applyNumberFormat="1" applyFont="1" applyBorder="1" applyAlignment="1">
      <alignment horizontal="right" vertical="center"/>
      <protection/>
    </xf>
    <xf numFmtId="0" fontId="20" fillId="0" borderId="106" xfId="25" applyFont="1" applyBorder="1" applyAlignment="1">
      <alignment vertical="center"/>
      <protection/>
    </xf>
    <xf numFmtId="3" fontId="21" fillId="0" borderId="83" xfId="25" applyNumberFormat="1" applyFont="1" applyBorder="1" applyAlignment="1" applyProtection="1">
      <alignment vertical="center"/>
      <protection/>
    </xf>
    <xf numFmtId="3" fontId="21" fillId="0" borderId="84" xfId="25" applyNumberFormat="1" applyFont="1" applyBorder="1" applyAlignment="1" applyProtection="1">
      <alignment vertical="center"/>
      <protection/>
    </xf>
    <xf numFmtId="3" fontId="21" fillId="0" borderId="104" xfId="25" applyNumberFormat="1" applyFont="1" applyBorder="1" applyAlignment="1" applyProtection="1">
      <alignment vertical="center"/>
      <protection/>
    </xf>
    <xf numFmtId="0" fontId="21" fillId="0" borderId="78" xfId="25" applyFont="1" applyBorder="1" applyAlignment="1">
      <alignment horizontal="left" vertical="center"/>
      <protection/>
    </xf>
    <xf numFmtId="3" fontId="21" fillId="0" borderId="23" xfId="25" applyNumberFormat="1" applyFont="1" applyBorder="1" applyAlignment="1" applyProtection="1">
      <alignment vertical="center"/>
      <protection/>
    </xf>
    <xf numFmtId="3" fontId="21" fillId="0" borderId="103" xfId="25" applyNumberFormat="1" applyFont="1" applyBorder="1" applyAlignment="1" applyProtection="1">
      <alignment vertical="center"/>
      <protection/>
    </xf>
    <xf numFmtId="0" fontId="21" fillId="0" borderId="79" xfId="25" applyFont="1" applyBorder="1" applyAlignment="1">
      <alignment horizontal="left" vertical="center"/>
      <protection/>
    </xf>
    <xf numFmtId="3" fontId="21" fillId="0" borderId="27" xfId="25" applyNumberFormat="1" applyFont="1" applyBorder="1" applyAlignment="1" applyProtection="1">
      <alignment vertical="center"/>
      <protection/>
    </xf>
    <xf numFmtId="3" fontId="21" fillId="0" borderId="105" xfId="25" applyNumberFormat="1" applyFont="1" applyBorder="1" applyAlignment="1" applyProtection="1">
      <alignment vertical="center"/>
      <protection/>
    </xf>
    <xf numFmtId="0" fontId="20" fillId="0" borderId="77" xfId="24" applyFont="1" applyBorder="1" applyAlignment="1">
      <alignment horizontal="left" vertical="center"/>
      <protection/>
    </xf>
    <xf numFmtId="3" fontId="21" fillId="0" borderId="80" xfId="25" applyNumberFormat="1" applyFont="1" applyBorder="1" applyAlignment="1">
      <alignment horizontal="right" vertical="center"/>
      <protection/>
    </xf>
    <xf numFmtId="3" fontId="20" fillId="0" borderId="32" xfId="25" applyNumberFormat="1" applyFont="1" applyBorder="1" applyAlignment="1">
      <alignment horizontal="right" vertical="center"/>
      <protection/>
    </xf>
    <xf numFmtId="3" fontId="20" fillId="0" borderId="30" xfId="25" applyNumberFormat="1" applyFont="1" applyBorder="1" applyAlignment="1">
      <alignment horizontal="right" vertical="center"/>
      <protection/>
    </xf>
    <xf numFmtId="3" fontId="21" fillId="0" borderId="83" xfId="25" applyNumberFormat="1" applyFont="1" applyBorder="1" applyAlignment="1">
      <alignment vertical="center"/>
      <protection/>
    </xf>
    <xf numFmtId="3" fontId="21" fillId="0" borderId="84" xfId="25" applyNumberFormat="1" applyFont="1" applyBorder="1" applyAlignment="1">
      <alignment vertical="center"/>
      <protection/>
    </xf>
    <xf numFmtId="3" fontId="21" fillId="0" borderId="104" xfId="25" applyNumberFormat="1" applyFont="1" applyBorder="1" applyAlignment="1">
      <alignment vertical="center"/>
      <protection/>
    </xf>
    <xf numFmtId="3" fontId="21" fillId="0" borderId="103" xfId="25" applyNumberFormat="1" applyFont="1" applyBorder="1" applyAlignment="1">
      <alignment vertical="center"/>
      <protection/>
    </xf>
    <xf numFmtId="3" fontId="21" fillId="0" borderId="27" xfId="25" applyNumberFormat="1" applyFont="1" applyBorder="1" applyAlignment="1">
      <alignment vertical="center"/>
      <protection/>
    </xf>
    <xf numFmtId="3" fontId="21" fillId="0" borderId="105" xfId="25" applyNumberFormat="1" applyFont="1" applyBorder="1" applyAlignment="1">
      <alignment vertical="center"/>
      <protection/>
    </xf>
    <xf numFmtId="3" fontId="21" fillId="0" borderId="30" xfId="25" applyNumberFormat="1" applyFont="1" applyBorder="1" applyAlignment="1">
      <alignment vertical="center"/>
      <protection/>
    </xf>
    <xf numFmtId="0" fontId="21" fillId="0" borderId="78" xfId="24" applyFont="1" applyBorder="1" applyAlignment="1">
      <alignment horizontal="left" vertical="center"/>
      <protection/>
    </xf>
    <xf numFmtId="0" fontId="21" fillId="0" borderId="79" xfId="24" applyFont="1" applyBorder="1" applyAlignment="1">
      <alignment horizontal="left" vertical="center"/>
      <protection/>
    </xf>
    <xf numFmtId="3" fontId="21" fillId="0" borderId="23" xfId="25" applyNumberFormat="1" applyFont="1" applyFill="1" applyBorder="1" applyAlignment="1">
      <alignment vertical="center"/>
      <protection/>
    </xf>
    <xf numFmtId="3" fontId="21" fillId="0" borderId="103" xfId="25" applyNumberFormat="1" applyFont="1" applyFill="1" applyBorder="1" applyAlignment="1">
      <alignment vertical="center"/>
      <protection/>
    </xf>
    <xf numFmtId="3" fontId="21" fillId="0" borderId="32" xfId="25" applyNumberFormat="1" applyFont="1" applyBorder="1" applyAlignment="1">
      <alignment vertical="center"/>
      <protection/>
    </xf>
    <xf numFmtId="3" fontId="21" fillId="0" borderId="102" xfId="25" applyNumberFormat="1" applyFont="1" applyBorder="1" applyAlignment="1">
      <alignment vertical="center"/>
      <protection/>
    </xf>
    <xf numFmtId="3" fontId="21" fillId="0" borderId="37" xfId="25" applyNumberFormat="1" applyFont="1" applyBorder="1" applyAlignment="1">
      <alignment vertical="center"/>
      <protection/>
    </xf>
    <xf numFmtId="3" fontId="21" fillId="0" borderId="35" xfId="25" applyNumberFormat="1" applyFont="1" applyBorder="1" applyAlignment="1">
      <alignment vertical="center"/>
      <protection/>
    </xf>
    <xf numFmtId="3" fontId="21" fillId="0" borderId="106" xfId="25" applyNumberFormat="1" applyFont="1" applyBorder="1" applyAlignment="1">
      <alignment vertical="center"/>
      <protection/>
    </xf>
    <xf numFmtId="0" fontId="21" fillId="0" borderId="110" xfId="24" applyFont="1" applyBorder="1" applyAlignment="1">
      <alignment horizontal="left" vertical="center"/>
      <protection/>
    </xf>
    <xf numFmtId="3" fontId="18" fillId="0" borderId="107" xfId="26" applyNumberFormat="1" applyFont="1" applyBorder="1" applyAlignment="1">
      <alignment vertical="center"/>
      <protection/>
    </xf>
    <xf numFmtId="3" fontId="18" fillId="0" borderId="95" xfId="26" applyNumberFormat="1" applyFont="1" applyBorder="1" applyAlignment="1">
      <alignment vertical="center"/>
      <protection/>
    </xf>
    <xf numFmtId="3" fontId="18" fillId="0" borderId="96" xfId="26" applyNumberFormat="1" applyFont="1" applyBorder="1" applyAlignment="1">
      <alignment vertical="center"/>
      <protection/>
    </xf>
    <xf numFmtId="0" fontId="34" fillId="0" borderId="108" xfId="26" applyFont="1" applyBorder="1" applyAlignment="1">
      <alignment vertical="center"/>
      <protection/>
    </xf>
    <xf numFmtId="0" fontId="18" fillId="0" borderId="108" xfId="24" applyFont="1" applyFill="1" applyBorder="1" applyAlignment="1">
      <alignment horizontal="center" vertical="center" wrapText="1"/>
      <protection/>
    </xf>
    <xf numFmtId="0" fontId="20" fillId="0" borderId="111" xfId="25" applyFont="1" applyBorder="1" applyAlignment="1">
      <alignment horizontal="left" vertical="center"/>
      <protection/>
    </xf>
    <xf numFmtId="3" fontId="21" fillId="0" borderId="89" xfId="25" applyNumberFormat="1" applyFont="1" applyBorder="1" applyAlignment="1">
      <alignment vertical="center"/>
      <protection/>
    </xf>
    <xf numFmtId="3" fontId="20" fillId="0" borderId="43" xfId="25" applyNumberFormat="1" applyFont="1" applyBorder="1" applyAlignment="1">
      <alignment vertical="center"/>
      <protection/>
    </xf>
    <xf numFmtId="3" fontId="20" fillId="0" borderId="41" xfId="25" applyNumberFormat="1" applyFont="1" applyBorder="1" applyAlignment="1">
      <alignment vertical="center"/>
      <protection/>
    </xf>
    <xf numFmtId="0" fontId="20" fillId="0" borderId="112" xfId="25" applyFont="1" applyBorder="1" applyAlignment="1">
      <alignment vertical="center"/>
      <protection/>
    </xf>
    <xf numFmtId="3" fontId="21" fillId="0" borderId="80" xfId="25" applyNumberFormat="1" applyFont="1" applyBorder="1" applyAlignment="1" applyProtection="1">
      <alignment horizontal="right" vertical="center"/>
      <protection/>
    </xf>
    <xf numFmtId="3" fontId="21" fillId="0" borderId="76" xfId="25" applyNumberFormat="1" applyFont="1" applyBorder="1" applyAlignment="1" applyProtection="1">
      <alignment horizontal="right" vertical="center"/>
      <protection/>
    </xf>
    <xf numFmtId="3" fontId="20" fillId="0" borderId="83" xfId="25" applyNumberFormat="1" applyFont="1" applyBorder="1" applyAlignment="1">
      <alignment horizontal="right" vertical="center"/>
      <protection/>
    </xf>
    <xf numFmtId="3" fontId="20" fillId="0" borderId="84" xfId="25" applyNumberFormat="1" applyFont="1" applyBorder="1" applyAlignment="1">
      <alignment horizontal="right" vertical="center"/>
      <protection/>
    </xf>
    <xf numFmtId="0" fontId="20" fillId="0" borderId="104" xfId="25" applyFont="1" applyBorder="1" applyAlignment="1">
      <alignment vertical="center"/>
      <protection/>
    </xf>
    <xf numFmtId="0" fontId="20" fillId="0" borderId="79" xfId="24" applyFont="1" applyBorder="1" applyAlignment="1">
      <alignment horizontal="left" vertical="center"/>
      <protection/>
    </xf>
    <xf numFmtId="3" fontId="21" fillId="0" borderId="74" xfId="25" applyNumberFormat="1" applyFont="1" applyBorder="1" applyAlignment="1" applyProtection="1">
      <alignment horizontal="right" vertical="center"/>
      <protection/>
    </xf>
    <xf numFmtId="3" fontId="20" fillId="0" borderId="28" xfId="25" applyNumberFormat="1" applyFont="1" applyBorder="1" applyAlignment="1" applyProtection="1">
      <alignment horizontal="right" vertical="center"/>
      <protection/>
    </xf>
    <xf numFmtId="3" fontId="20" fillId="0" borderId="27" xfId="25" applyNumberFormat="1" applyFont="1" applyBorder="1" applyAlignment="1" applyProtection="1">
      <alignment horizontal="right" vertical="center"/>
      <protection/>
    </xf>
    <xf numFmtId="3" fontId="20" fillId="0" borderId="27" xfId="25" applyNumberFormat="1" applyFont="1" applyBorder="1" applyAlignment="1">
      <alignment horizontal="right" vertical="center"/>
      <protection/>
    </xf>
    <xf numFmtId="0" fontId="20" fillId="0" borderId="105" xfId="25" applyFont="1" applyBorder="1" applyAlignment="1">
      <alignment vertical="center"/>
      <protection/>
    </xf>
    <xf numFmtId="0" fontId="21" fillId="0" borderId="85" xfId="24" applyFont="1" applyBorder="1" applyAlignment="1">
      <alignment horizontal="left" vertical="center"/>
      <protection/>
    </xf>
    <xf numFmtId="0" fontId="21" fillId="0" borderId="77" xfId="25" applyFont="1" applyFill="1" applyBorder="1" applyAlignment="1">
      <alignment horizontal="left" vertical="center"/>
      <protection/>
    </xf>
    <xf numFmtId="0" fontId="21" fillId="0" borderId="97" xfId="25" applyFont="1" applyFill="1" applyBorder="1" applyAlignment="1">
      <alignment horizontal="left" vertical="center"/>
      <protection/>
    </xf>
    <xf numFmtId="3" fontId="21" fillId="0" borderId="98" xfId="25" applyNumberFormat="1" applyFont="1" applyFill="1" applyBorder="1" applyAlignment="1">
      <alignment vertical="center"/>
      <protection/>
    </xf>
    <xf numFmtId="3" fontId="21" fillId="0" borderId="99" xfId="25" applyNumberFormat="1" applyFont="1" applyFill="1" applyBorder="1" applyAlignment="1">
      <alignment vertical="center"/>
      <protection/>
    </xf>
    <xf numFmtId="3" fontId="21" fillId="0" borderId="100" xfId="25" applyNumberFormat="1" applyFont="1" applyFill="1" applyBorder="1" applyAlignment="1">
      <alignment vertical="center"/>
      <protection/>
    </xf>
    <xf numFmtId="3" fontId="21" fillId="0" borderId="101" xfId="25" applyNumberFormat="1" applyFont="1" applyFill="1" applyBorder="1" applyAlignment="1">
      <alignment vertical="center"/>
      <protection/>
    </xf>
    <xf numFmtId="3" fontId="21" fillId="0" borderId="107" xfId="25" applyNumberFormat="1" applyFont="1" applyFill="1" applyBorder="1" applyAlignment="1">
      <alignment vertical="center"/>
      <protection/>
    </xf>
    <xf numFmtId="3" fontId="21" fillId="0" borderId="95" xfId="25" applyNumberFormat="1" applyFont="1" applyFill="1" applyBorder="1" applyAlignment="1">
      <alignment vertical="center"/>
      <protection/>
    </xf>
    <xf numFmtId="3" fontId="21" fillId="0" borderId="96" xfId="25" applyNumberFormat="1" applyFont="1" applyFill="1" applyBorder="1" applyAlignment="1">
      <alignment vertical="center"/>
      <protection/>
    </xf>
    <xf numFmtId="3" fontId="21" fillId="0" borderId="108" xfId="25" applyNumberFormat="1" applyFont="1" applyFill="1" applyBorder="1" applyAlignment="1">
      <alignment vertical="center"/>
      <protection/>
    </xf>
    <xf numFmtId="0" fontId="6" fillId="0" borderId="21" xfId="0" applyFont="1" applyBorder="1" applyAlignment="1">
      <alignment vertical="center"/>
    </xf>
    <xf numFmtId="3" fontId="6" fillId="0" borderId="23" xfId="20" applyNumberFormat="1" applyFont="1" applyBorder="1" applyAlignment="1">
      <alignment vertical="center"/>
      <protection/>
    </xf>
    <xf numFmtId="3" fontId="6" fillId="0" borderId="25" xfId="20" applyNumberFormat="1" applyFont="1" applyBorder="1" applyAlignment="1">
      <alignment vertical="center"/>
      <protection/>
    </xf>
    <xf numFmtId="49" fontId="5" fillId="0" borderId="24" xfId="20" applyNumberFormat="1" applyFont="1" applyBorder="1" applyAlignment="1">
      <alignment vertical="center" wrapText="1"/>
      <protection/>
    </xf>
    <xf numFmtId="3" fontId="5" fillId="0" borderId="23" xfId="20" applyNumberFormat="1" applyFont="1" applyFill="1" applyBorder="1" applyAlignment="1">
      <alignment vertical="center"/>
      <protection/>
    </xf>
    <xf numFmtId="3" fontId="5" fillId="0" borderId="25" xfId="20" applyNumberFormat="1" applyFont="1" applyFill="1" applyBorder="1" applyAlignment="1">
      <alignment vertical="center"/>
      <protection/>
    </xf>
    <xf numFmtId="0" fontId="5" fillId="0" borderId="33" xfId="20" applyFont="1" applyBorder="1" applyAlignment="1">
      <alignment vertical="center" wrapText="1"/>
      <protection/>
    </xf>
    <xf numFmtId="0" fontId="5" fillId="0" borderId="0" xfId="20" applyFont="1" applyAlignment="1">
      <alignment vertical="center"/>
      <protection/>
    </xf>
    <xf numFmtId="49" fontId="3" fillId="0" borderId="29" xfId="20" applyNumberFormat="1" applyFont="1" applyBorder="1" applyAlignment="1">
      <alignment vertical="center" wrapText="1"/>
      <protection/>
    </xf>
    <xf numFmtId="0" fontId="6" fillId="0" borderId="33" xfId="0" applyFont="1" applyBorder="1" applyAlignment="1">
      <alignment vertical="center" wrapText="1"/>
    </xf>
    <xf numFmtId="3" fontId="6" fillId="0" borderId="23" xfId="20" applyNumberFormat="1" applyFont="1" applyBorder="1" applyAlignment="1">
      <alignment vertical="center"/>
      <protection/>
    </xf>
    <xf numFmtId="3" fontId="6" fillId="0" borderId="25" xfId="20" applyNumberFormat="1" applyFont="1" applyBorder="1" applyAlignment="1">
      <alignment vertical="center"/>
      <protection/>
    </xf>
    <xf numFmtId="49" fontId="5" fillId="0" borderId="29" xfId="20" applyNumberFormat="1" applyFont="1" applyBorder="1" applyAlignment="1">
      <alignment vertical="center" wrapText="1"/>
      <protection/>
    </xf>
    <xf numFmtId="3" fontId="5" fillId="0" borderId="30" xfId="20" applyNumberFormat="1" applyFont="1" applyFill="1" applyBorder="1" applyAlignment="1">
      <alignment vertical="center"/>
      <protection/>
    </xf>
    <xf numFmtId="3" fontId="5" fillId="0" borderId="31" xfId="20" applyNumberFormat="1" applyFont="1" applyFill="1" applyBorder="1" applyAlignment="1">
      <alignment vertical="center"/>
      <protection/>
    </xf>
    <xf numFmtId="0" fontId="3" fillId="0" borderId="37" xfId="20" applyFont="1" applyBorder="1" applyAlignment="1">
      <alignment vertical="center" wrapText="1"/>
      <protection/>
    </xf>
    <xf numFmtId="3" fontId="3" fillId="0" borderId="35" xfId="20" applyNumberFormat="1" applyFont="1" applyBorder="1" applyAlignment="1">
      <alignment vertical="center"/>
      <protection/>
    </xf>
    <xf numFmtId="3" fontId="3" fillId="0" borderId="36" xfId="20" applyNumberFormat="1" applyFont="1" applyBorder="1" applyAlignment="1">
      <alignment vertical="center"/>
      <protection/>
    </xf>
    <xf numFmtId="3" fontId="3" fillId="0" borderId="30" xfId="20" applyNumberFormat="1" applyFont="1" applyFill="1" applyBorder="1" applyAlignment="1">
      <alignment vertical="center"/>
      <protection/>
    </xf>
    <xf numFmtId="3" fontId="3" fillId="0" borderId="31" xfId="20" applyNumberFormat="1" applyFont="1" applyFill="1" applyBorder="1" applyAlignment="1">
      <alignment vertical="center"/>
      <protection/>
    </xf>
    <xf numFmtId="0" fontId="3" fillId="0" borderId="1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3" fillId="0" borderId="113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left" vertical="center"/>
    </xf>
    <xf numFmtId="0" fontId="3" fillId="0" borderId="66" xfId="20" applyFont="1" applyFill="1" applyBorder="1" applyAlignment="1">
      <alignment horizontal="center" vertical="center" wrapText="1"/>
      <protection/>
    </xf>
    <xf numFmtId="3" fontId="11" fillId="0" borderId="0" xfId="35" applyNumberFormat="1" applyFont="1" applyAlignment="1">
      <alignment vertical="center"/>
      <protection/>
    </xf>
    <xf numFmtId="3" fontId="9" fillId="0" borderId="92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14" fillId="0" borderId="0" xfId="35" applyNumberFormat="1" applyFont="1" applyAlignment="1">
      <alignment vertical="center"/>
      <protection/>
    </xf>
    <xf numFmtId="0" fontId="14" fillId="0" borderId="0" xfId="35" applyFont="1" applyAlignment="1">
      <alignment vertical="center"/>
      <protection/>
    </xf>
    <xf numFmtId="0" fontId="10" fillId="0" borderId="81" xfId="31" applyFont="1" applyFill="1" applyBorder="1" applyAlignment="1">
      <alignment vertical="center" wrapText="1"/>
    </xf>
    <xf numFmtId="3" fontId="10" fillId="0" borderId="33" xfId="31" applyNumberFormat="1" applyFont="1" applyFill="1" applyBorder="1" applyAlignment="1">
      <alignment vertical="center"/>
    </xf>
    <xf numFmtId="3" fontId="10" fillId="0" borderId="23" xfId="31" applyNumberFormat="1" applyFont="1" applyFill="1" applyBorder="1" applyAlignment="1">
      <alignment vertical="center"/>
    </xf>
    <xf numFmtId="3" fontId="10" fillId="0" borderId="25" xfId="31" applyNumberFormat="1" applyFont="1" applyFill="1" applyBorder="1" applyAlignment="1">
      <alignment vertical="center"/>
    </xf>
    <xf numFmtId="0" fontId="10" fillId="0" borderId="81" xfId="0" applyFont="1" applyFill="1" applyBorder="1" applyAlignment="1">
      <alignment vertical="center" wrapText="1"/>
    </xf>
    <xf numFmtId="0" fontId="10" fillId="0" borderId="81" xfId="31" applyFont="1" applyBorder="1" applyAlignment="1">
      <alignment vertical="center" wrapText="1"/>
    </xf>
    <xf numFmtId="3" fontId="10" fillId="0" borderId="33" xfId="31" applyNumberFormat="1" applyFont="1" applyBorder="1" applyAlignment="1">
      <alignment vertical="center"/>
    </xf>
    <xf numFmtId="3" fontId="10" fillId="0" borderId="23" xfId="31" applyNumberFormat="1" applyFont="1" applyBorder="1" applyAlignment="1">
      <alignment vertical="center"/>
    </xf>
    <xf numFmtId="3" fontId="10" fillId="0" borderId="25" xfId="31" applyNumberFormat="1" applyFont="1" applyBorder="1" applyAlignment="1">
      <alignment vertical="center"/>
    </xf>
    <xf numFmtId="3" fontId="14" fillId="0" borderId="23" xfId="31" applyNumberFormat="1" applyFont="1" applyFill="1" applyBorder="1" applyAlignment="1">
      <alignment vertical="center"/>
    </xf>
    <xf numFmtId="3" fontId="14" fillId="0" borderId="25" xfId="31" applyNumberFormat="1" applyFont="1" applyFill="1" applyBorder="1" applyAlignment="1">
      <alignment vertical="center"/>
    </xf>
    <xf numFmtId="49" fontId="17" fillId="2" borderId="81" xfId="29" applyNumberFormat="1" applyFont="1" applyFill="1" applyBorder="1" applyAlignment="1">
      <alignment vertical="center" wrapText="1"/>
      <protection/>
    </xf>
    <xf numFmtId="0" fontId="10" fillId="0" borderId="81" xfId="0" applyFont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0" fontId="11" fillId="0" borderId="81" xfId="31" applyFont="1" applyBorder="1" applyAlignment="1">
      <alignment vertical="center" wrapText="1"/>
    </xf>
    <xf numFmtId="3" fontId="11" fillId="0" borderId="33" xfId="31" applyNumberFormat="1" applyFont="1" applyBorder="1" applyAlignment="1">
      <alignment horizontal="center" vertical="center"/>
    </xf>
    <xf numFmtId="3" fontId="11" fillId="0" borderId="23" xfId="31" applyNumberFormat="1" applyFont="1" applyBorder="1" applyAlignment="1">
      <alignment horizontal="center" vertical="center"/>
    </xf>
    <xf numFmtId="3" fontId="11" fillId="0" borderId="25" xfId="31" applyNumberFormat="1" applyFont="1" applyBorder="1" applyAlignment="1">
      <alignment horizontal="center" vertical="center"/>
    </xf>
    <xf numFmtId="0" fontId="14" fillId="0" borderId="81" xfId="31" applyFont="1" applyFill="1" applyBorder="1" applyAlignment="1">
      <alignment vertical="center" wrapText="1"/>
    </xf>
    <xf numFmtId="3" fontId="11" fillId="0" borderId="25" xfId="31" applyNumberFormat="1" applyFont="1" applyBorder="1" applyAlignment="1">
      <alignment horizontal="right" vertical="center"/>
    </xf>
    <xf numFmtId="3" fontId="10" fillId="0" borderId="25" xfId="31" applyNumberFormat="1" applyFont="1" applyBorder="1" applyAlignment="1">
      <alignment horizontal="right" vertical="center"/>
    </xf>
    <xf numFmtId="3" fontId="11" fillId="0" borderId="33" xfId="31" applyNumberFormat="1" applyFont="1" applyBorder="1" applyAlignment="1">
      <alignment horizontal="right" vertical="center"/>
    </xf>
    <xf numFmtId="3" fontId="10" fillId="0" borderId="33" xfId="31" applyNumberFormat="1" applyFont="1" applyBorder="1" applyAlignment="1">
      <alignment horizontal="right" vertical="center"/>
    </xf>
    <xf numFmtId="3" fontId="10" fillId="0" borderId="23" xfId="31" applyNumberFormat="1" applyFont="1" applyBorder="1" applyAlignment="1">
      <alignment horizontal="right" vertical="center"/>
    </xf>
    <xf numFmtId="0" fontId="14" fillId="0" borderId="81" xfId="0" applyFont="1" applyBorder="1" applyAlignment="1">
      <alignment vertical="center" wrapText="1"/>
    </xf>
    <xf numFmtId="3" fontId="11" fillId="0" borderId="25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0" fillId="0" borderId="23" xfId="33" applyNumberFormat="1" applyFont="1" applyBorder="1" applyAlignment="1">
      <alignment horizontal="right" vertical="center"/>
      <protection/>
    </xf>
    <xf numFmtId="3" fontId="10" fillId="0" borderId="25" xfId="33" applyNumberFormat="1" applyFont="1" applyBorder="1" applyAlignment="1">
      <alignment horizontal="right" vertical="center"/>
      <protection/>
    </xf>
    <xf numFmtId="3" fontId="11" fillId="0" borderId="23" xfId="33" applyNumberFormat="1" applyFont="1" applyBorder="1" applyAlignment="1">
      <alignment horizontal="right" vertical="center" wrapText="1"/>
      <protection/>
    </xf>
    <xf numFmtId="3" fontId="11" fillId="0" borderId="25" xfId="33" applyNumberFormat="1" applyFont="1" applyBorder="1" applyAlignment="1">
      <alignment horizontal="right" vertical="center" wrapText="1"/>
      <protection/>
    </xf>
    <xf numFmtId="3" fontId="10" fillId="0" borderId="23" xfId="33" applyNumberFormat="1" applyFont="1" applyBorder="1" applyAlignment="1">
      <alignment horizontal="right" vertical="center" wrapText="1"/>
      <protection/>
    </xf>
    <xf numFmtId="3" fontId="10" fillId="0" borderId="25" xfId="33" applyNumberFormat="1" applyFont="1" applyBorder="1" applyAlignment="1">
      <alignment horizontal="right" vertical="center" wrapText="1"/>
      <protection/>
    </xf>
    <xf numFmtId="3" fontId="11" fillId="0" borderId="23" xfId="28" applyNumberFormat="1" applyFont="1" applyFill="1" applyBorder="1" applyAlignment="1">
      <alignment horizontal="right" vertical="center"/>
      <protection/>
    </xf>
    <xf numFmtId="3" fontId="11" fillId="0" borderId="25" xfId="28" applyNumberFormat="1" applyFont="1" applyFill="1" applyBorder="1" applyAlignment="1">
      <alignment horizontal="right" vertical="center"/>
      <protection/>
    </xf>
    <xf numFmtId="3" fontId="11" fillId="0" borderId="34" xfId="33" applyNumberFormat="1" applyFont="1" applyBorder="1" applyAlignment="1">
      <alignment horizontal="center" vertical="center" wrapText="1"/>
      <protection/>
    </xf>
    <xf numFmtId="3" fontId="11" fillId="0" borderId="85" xfId="33" applyNumberFormat="1" applyFont="1" applyBorder="1" applyAlignment="1">
      <alignment horizontal="center" vertical="center" wrapText="1"/>
      <protection/>
    </xf>
    <xf numFmtId="3" fontId="10" fillId="2" borderId="23" xfId="28" applyNumberFormat="1" applyFont="1" applyFill="1" applyBorder="1" applyAlignment="1">
      <alignment horizontal="right" vertical="center" wrapText="1"/>
      <protection/>
    </xf>
    <xf numFmtId="3" fontId="10" fillId="2" borderId="25" xfId="28" applyNumberFormat="1" applyFont="1" applyFill="1" applyBorder="1" applyAlignment="1">
      <alignment horizontal="right" vertical="center" wrapText="1"/>
      <protection/>
    </xf>
    <xf numFmtId="3" fontId="17" fillId="2" borderId="23" xfId="29" applyNumberFormat="1" applyFont="1" applyFill="1" applyBorder="1" applyAlignment="1">
      <alignment horizontal="right" vertical="center" wrapText="1"/>
      <protection/>
    </xf>
    <xf numFmtId="3" fontId="17" fillId="2" borderId="25" xfId="29" applyNumberFormat="1" applyFont="1" applyFill="1" applyBorder="1" applyAlignment="1">
      <alignment horizontal="right" vertical="center" wrapText="1"/>
      <protection/>
    </xf>
    <xf numFmtId="165" fontId="17" fillId="0" borderId="0" xfId="27" applyFont="1" applyFill="1" applyBorder="1" applyAlignment="1">
      <alignment horizontal="center" vertical="center"/>
      <protection/>
    </xf>
    <xf numFmtId="3" fontId="5" fillId="0" borderId="0" xfId="20" applyNumberFormat="1" applyFont="1" applyBorder="1" applyAlignment="1">
      <alignment vertical="center"/>
      <protection/>
    </xf>
    <xf numFmtId="3" fontId="10" fillId="0" borderId="85" xfId="0" applyNumberFormat="1" applyFont="1" applyBorder="1" applyAlignment="1">
      <alignment vertical="center"/>
    </xf>
    <xf numFmtId="3" fontId="11" fillId="0" borderId="90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14" fontId="10" fillId="2" borderId="85" xfId="0" applyNumberFormat="1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3" fontId="7" fillId="0" borderId="0" xfId="0" applyNumberFormat="1" applyFont="1"/>
    <xf numFmtId="3" fontId="11" fillId="0" borderId="60" xfId="36" applyNumberFormat="1" applyFont="1" applyBorder="1" applyAlignment="1">
      <alignment horizontal="center" vertical="center" wrapText="1"/>
      <protection/>
    </xf>
    <xf numFmtId="0" fontId="11" fillId="0" borderId="66" xfId="32" applyFont="1" applyBorder="1" applyAlignment="1">
      <alignment horizontal="center" vertical="center" wrapText="1"/>
      <protection/>
    </xf>
    <xf numFmtId="3" fontId="10" fillId="0" borderId="23" xfId="33" applyNumberFormat="1" applyFont="1" applyBorder="1" applyAlignment="1">
      <alignment horizontal="right" vertical="center"/>
      <protection/>
    </xf>
    <xf numFmtId="3" fontId="10" fillId="0" borderId="25" xfId="33" applyNumberFormat="1" applyFont="1" applyBorder="1" applyAlignment="1">
      <alignment horizontal="right" vertical="center"/>
      <protection/>
    </xf>
    <xf numFmtId="0" fontId="10" fillId="0" borderId="91" xfId="33" applyFont="1" applyBorder="1" applyAlignment="1">
      <alignment vertical="center" wrapText="1"/>
      <protection/>
    </xf>
    <xf numFmtId="3" fontId="10" fillId="0" borderId="24" xfId="33" applyNumberFormat="1" applyFont="1" applyBorder="1" applyAlignment="1">
      <alignment horizontal="right" vertical="center" wrapText="1"/>
      <protection/>
    </xf>
    <xf numFmtId="3" fontId="10" fillId="0" borderId="23" xfId="33" applyNumberFormat="1" applyFont="1" applyBorder="1" applyAlignment="1">
      <alignment horizontal="right" vertical="center" wrapText="1"/>
      <protection/>
    </xf>
    <xf numFmtId="3" fontId="10" fillId="0" borderId="25" xfId="33" applyNumberFormat="1" applyFont="1" applyBorder="1" applyAlignment="1">
      <alignment horizontal="right" vertical="center" wrapText="1"/>
      <protection/>
    </xf>
    <xf numFmtId="3" fontId="10" fillId="0" borderId="33" xfId="33" applyNumberFormat="1" applyFont="1" applyBorder="1" applyAlignment="1">
      <alignment horizontal="right" vertical="center" wrapText="1"/>
      <protection/>
    </xf>
    <xf numFmtId="3" fontId="10" fillId="0" borderId="78" xfId="33" applyNumberFormat="1" applyFont="1" applyBorder="1" applyAlignment="1">
      <alignment horizontal="right" vertical="center" wrapText="1"/>
      <protection/>
    </xf>
    <xf numFmtId="0" fontId="11" fillId="0" borderId="65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3" fillId="0" borderId="27" xfId="20" applyFont="1" applyFill="1" applyBorder="1" applyAlignment="1">
      <alignment horizontal="center" vertical="center" wrapText="1"/>
      <protection/>
    </xf>
    <xf numFmtId="3" fontId="3" fillId="0" borderId="65" xfId="0" applyNumberFormat="1" applyFont="1" applyBorder="1" applyAlignment="1">
      <alignment horizontal="center" vertical="center" wrapText="1"/>
    </xf>
    <xf numFmtId="0" fontId="17" fillId="0" borderId="66" xfId="24" applyFont="1" applyFill="1" applyBorder="1" applyAlignment="1">
      <alignment horizontal="left" vertical="center"/>
      <protection/>
    </xf>
    <xf numFmtId="0" fontId="18" fillId="0" borderId="115" xfId="24" applyFont="1" applyFill="1" applyBorder="1" applyAlignment="1">
      <alignment horizontal="left" vertical="center"/>
      <protection/>
    </xf>
    <xf numFmtId="49" fontId="10" fillId="0" borderId="0" xfId="28" applyNumberFormat="1" applyFont="1" applyAlignment="1">
      <alignment vertical="center"/>
      <protection/>
    </xf>
    <xf numFmtId="49" fontId="10" fillId="0" borderId="0" xfId="28" applyNumberFormat="1" applyFont="1" applyAlignment="1">
      <alignment horizontal="center" vertical="center"/>
      <protection/>
    </xf>
    <xf numFmtId="49" fontId="9" fillId="0" borderId="0" xfId="28" applyNumberFormat="1" applyFont="1" applyAlignment="1">
      <alignment vertical="center"/>
      <protection/>
    </xf>
    <xf numFmtId="49" fontId="11" fillId="0" borderId="0" xfId="28" applyNumberFormat="1" applyFont="1" applyAlignment="1">
      <alignment vertical="center"/>
      <protection/>
    </xf>
    <xf numFmtId="49" fontId="14" fillId="0" borderId="0" xfId="28" applyNumberFormat="1" applyFont="1" applyAlignment="1">
      <alignment vertical="center"/>
      <protection/>
    </xf>
    <xf numFmtId="49" fontId="14" fillId="0" borderId="0" xfId="28" applyNumberFormat="1" applyFont="1" applyBorder="1" applyAlignment="1">
      <alignment vertical="center"/>
      <protection/>
    </xf>
    <xf numFmtId="49" fontId="11" fillId="0" borderId="0" xfId="28" applyNumberFormat="1" applyFont="1" applyBorder="1" applyAlignment="1">
      <alignment vertical="center"/>
      <protection/>
    </xf>
    <xf numFmtId="49" fontId="10" fillId="0" borderId="0" xfId="28" applyNumberFormat="1" applyFont="1" applyFill="1" applyAlignment="1">
      <alignment vertical="center"/>
      <protection/>
    </xf>
    <xf numFmtId="49" fontId="9" fillId="0" borderId="0" xfId="28" applyNumberFormat="1" applyFont="1" applyFill="1" applyAlignment="1">
      <alignment vertical="center"/>
      <protection/>
    </xf>
    <xf numFmtId="49" fontId="10" fillId="3" borderId="0" xfId="28" applyNumberFormat="1" applyFont="1" applyFill="1" applyAlignment="1">
      <alignment vertical="center"/>
      <protection/>
    </xf>
    <xf numFmtId="0" fontId="10" fillId="0" borderId="81" xfId="31" applyFont="1" applyFill="1" applyBorder="1" applyAlignment="1">
      <alignment vertical="center" wrapText="1"/>
    </xf>
    <xf numFmtId="3" fontId="10" fillId="0" borderId="33" xfId="31" applyNumberFormat="1" applyFont="1" applyFill="1" applyBorder="1" applyAlignment="1">
      <alignment vertical="center"/>
    </xf>
    <xf numFmtId="3" fontId="10" fillId="0" borderId="23" xfId="31" applyNumberFormat="1" applyFont="1" applyFill="1" applyBorder="1" applyAlignment="1">
      <alignment vertical="center"/>
    </xf>
    <xf numFmtId="3" fontId="10" fillId="0" borderId="25" xfId="31" applyNumberFormat="1" applyFont="1" applyFill="1" applyBorder="1" applyAlignment="1">
      <alignment vertical="center"/>
    </xf>
    <xf numFmtId="0" fontId="10" fillId="0" borderId="81" xfId="31" applyFont="1" applyBorder="1" applyAlignment="1">
      <alignment vertical="center" wrapText="1"/>
    </xf>
    <xf numFmtId="3" fontId="10" fillId="0" borderId="33" xfId="31" applyNumberFormat="1" applyFont="1" applyBorder="1" applyAlignment="1">
      <alignment vertical="center"/>
    </xf>
    <xf numFmtId="3" fontId="10" fillId="0" borderId="23" xfId="31" applyNumberFormat="1" applyFont="1" applyBorder="1" applyAlignment="1">
      <alignment vertical="center"/>
    </xf>
    <xf numFmtId="3" fontId="10" fillId="0" borderId="25" xfId="31" applyNumberFormat="1" applyFont="1" applyBorder="1" applyAlignment="1">
      <alignment vertical="center"/>
    </xf>
    <xf numFmtId="0" fontId="10" fillId="0" borderId="81" xfId="0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0" fillId="0" borderId="81" xfId="0" applyFont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7" fillId="2" borderId="81" xfId="29" applyNumberFormat="1" applyFont="1" applyFill="1" applyBorder="1" applyAlignment="1">
      <alignment horizontal="left" vertical="center" wrapText="1"/>
      <protection/>
    </xf>
    <xf numFmtId="3" fontId="10" fillId="0" borderId="33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1" fillId="0" borderId="78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0" fillId="0" borderId="55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vertical="center"/>
    </xf>
    <xf numFmtId="3" fontId="17" fillId="0" borderId="30" xfId="24" applyNumberFormat="1" applyFont="1" applyFill="1" applyBorder="1" applyAlignment="1">
      <alignment horizontal="right" vertical="center"/>
      <protection/>
    </xf>
    <xf numFmtId="0" fontId="17" fillId="0" borderId="30" xfId="24" applyFont="1" applyFill="1" applyBorder="1" applyAlignment="1">
      <alignment vertical="center"/>
      <protection/>
    </xf>
    <xf numFmtId="0" fontId="17" fillId="0" borderId="36" xfId="24" applyFont="1" applyFill="1" applyBorder="1" applyAlignment="1">
      <alignment horizontal="left" vertical="center"/>
      <protection/>
    </xf>
    <xf numFmtId="3" fontId="17" fillId="0" borderId="37" xfId="24" applyNumberFormat="1" applyFont="1" applyFill="1" applyBorder="1" applyAlignment="1">
      <alignment horizontal="right" vertical="center"/>
      <protection/>
    </xf>
    <xf numFmtId="3" fontId="17" fillId="0" borderId="35" xfId="24" applyNumberFormat="1" applyFont="1" applyFill="1" applyBorder="1" applyAlignment="1">
      <alignment horizontal="right" vertical="center"/>
      <protection/>
    </xf>
    <xf numFmtId="0" fontId="17" fillId="0" borderId="35" xfId="24" applyFont="1" applyFill="1" applyBorder="1" applyAlignment="1">
      <alignment vertical="center"/>
      <protection/>
    </xf>
    <xf numFmtId="0" fontId="17" fillId="0" borderId="106" xfId="24" applyFont="1" applyFill="1" applyBorder="1" applyAlignment="1">
      <alignment vertical="center"/>
      <protection/>
    </xf>
    <xf numFmtId="3" fontId="17" fillId="0" borderId="84" xfId="24" applyNumberFormat="1" applyFont="1" applyFill="1" applyBorder="1" applyAlignment="1">
      <alignment horizontal="right" vertical="center"/>
      <protection/>
    </xf>
    <xf numFmtId="0" fontId="17" fillId="0" borderId="84" xfId="24" applyFont="1" applyFill="1" applyBorder="1" applyAlignment="1">
      <alignment vertical="center"/>
      <protection/>
    </xf>
    <xf numFmtId="0" fontId="17" fillId="0" borderId="82" xfId="24" applyFont="1" applyFill="1" applyBorder="1" applyAlignment="1">
      <alignment vertical="center"/>
      <protection/>
    </xf>
    <xf numFmtId="0" fontId="17" fillId="0" borderId="31" xfId="24" applyFont="1" applyFill="1" applyBorder="1" applyAlignment="1">
      <alignment vertical="center"/>
      <protection/>
    </xf>
    <xf numFmtId="3" fontId="17" fillId="0" borderId="71" xfId="24" applyNumberFormat="1" applyFont="1" applyFill="1" applyBorder="1" applyAlignment="1">
      <alignment horizontal="right" vertical="center"/>
      <protection/>
    </xf>
    <xf numFmtId="0" fontId="17" fillId="0" borderId="71" xfId="24" applyFont="1" applyFill="1" applyBorder="1" applyAlignment="1">
      <alignment vertical="center"/>
      <protection/>
    </xf>
    <xf numFmtId="0" fontId="17" fillId="0" borderId="72" xfId="24" applyFont="1" applyFill="1" applyBorder="1" applyAlignment="1">
      <alignment vertical="center"/>
      <protection/>
    </xf>
    <xf numFmtId="0" fontId="17" fillId="0" borderId="77" xfId="24" applyFont="1" applyFill="1" applyBorder="1" applyAlignment="1">
      <alignment horizontal="left" vertical="center"/>
      <protection/>
    </xf>
    <xf numFmtId="0" fontId="17" fillId="0" borderId="76" xfId="24" applyFont="1" applyFill="1" applyBorder="1" applyAlignment="1">
      <alignment horizontal="left" vertical="center"/>
      <protection/>
    </xf>
    <xf numFmtId="0" fontId="17" fillId="0" borderId="81" xfId="24" applyFont="1" applyFill="1" applyBorder="1" applyAlignment="1">
      <alignment horizontal="left" vertical="center"/>
      <protection/>
    </xf>
    <xf numFmtId="0" fontId="17" fillId="0" borderId="74" xfId="24" applyFont="1" applyFill="1" applyBorder="1" applyAlignment="1">
      <alignment horizontal="left" vertical="center"/>
      <protection/>
    </xf>
    <xf numFmtId="3" fontId="18" fillId="0" borderId="93" xfId="24" applyNumberFormat="1" applyFont="1" applyFill="1" applyBorder="1" applyAlignment="1">
      <alignment vertical="center"/>
      <protection/>
    </xf>
    <xf numFmtId="3" fontId="18" fillId="0" borderId="116" xfId="24" applyNumberFormat="1" applyFont="1" applyFill="1" applyBorder="1" applyAlignment="1">
      <alignment vertical="center"/>
      <protection/>
    </xf>
    <xf numFmtId="3" fontId="18" fillId="0" borderId="117" xfId="24" applyNumberFormat="1" applyFont="1" applyFill="1" applyBorder="1" applyAlignment="1">
      <alignment vertical="center"/>
      <protection/>
    </xf>
    <xf numFmtId="3" fontId="18" fillId="0" borderId="60" xfId="24" applyNumberFormat="1" applyFont="1" applyFill="1" applyBorder="1" applyAlignment="1">
      <alignment vertical="center"/>
      <protection/>
    </xf>
    <xf numFmtId="3" fontId="17" fillId="0" borderId="118" xfId="24" applyNumberFormat="1" applyFont="1" applyFill="1" applyBorder="1" applyAlignment="1">
      <alignment horizontal="right" vertical="center"/>
      <protection/>
    </xf>
    <xf numFmtId="3" fontId="18" fillId="0" borderId="92" xfId="24" applyNumberFormat="1" applyFont="1" applyFill="1" applyBorder="1" applyAlignment="1">
      <alignment vertical="center"/>
      <protection/>
    </xf>
    <xf numFmtId="3" fontId="18" fillId="0" borderId="74" xfId="24" applyNumberFormat="1" applyFont="1" applyFill="1" applyBorder="1" applyAlignment="1">
      <alignment vertical="center"/>
      <protection/>
    </xf>
    <xf numFmtId="3" fontId="18" fillId="0" borderId="81" xfId="24" applyNumberFormat="1" applyFont="1" applyFill="1" applyBorder="1" applyAlignment="1">
      <alignment vertical="center"/>
      <protection/>
    </xf>
    <xf numFmtId="0" fontId="31" fillId="0" borderId="0" xfId="34" applyFont="1">
      <alignment/>
      <protection/>
    </xf>
    <xf numFmtId="0" fontId="31" fillId="0" borderId="0" xfId="34" applyFont="1" applyAlignment="1">
      <alignment horizontal="center"/>
      <protection/>
    </xf>
    <xf numFmtId="3" fontId="38" fillId="0" borderId="0" xfId="34" applyNumberFormat="1" applyFont="1">
      <alignment/>
      <protection/>
    </xf>
    <xf numFmtId="3" fontId="31" fillId="0" borderId="0" xfId="34" applyNumberFormat="1" applyFont="1">
      <alignment/>
      <protection/>
    </xf>
    <xf numFmtId="3" fontId="31" fillId="0" borderId="0" xfId="34" applyNumberFormat="1">
      <alignment/>
      <protection/>
    </xf>
    <xf numFmtId="0" fontId="31" fillId="0" borderId="0" xfId="34">
      <alignment/>
      <protection/>
    </xf>
    <xf numFmtId="0" fontId="40" fillId="0" borderId="119" xfId="34" applyFont="1" applyBorder="1" applyAlignment="1">
      <alignment horizontal="center" vertical="center"/>
      <protection/>
    </xf>
    <xf numFmtId="0" fontId="40" fillId="0" borderId="120" xfId="34" applyFont="1" applyBorder="1" applyAlignment="1">
      <alignment vertical="center"/>
      <protection/>
    </xf>
    <xf numFmtId="3" fontId="42" fillId="0" borderId="121" xfId="34" applyNumberFormat="1" applyFont="1" applyBorder="1" applyAlignment="1">
      <alignment horizontal="center" vertical="center" wrapText="1"/>
      <protection/>
    </xf>
    <xf numFmtId="3" fontId="39" fillId="0" borderId="122" xfId="34" applyNumberFormat="1" applyFont="1" applyBorder="1" applyAlignment="1">
      <alignment horizontal="center" vertical="center" wrapText="1"/>
      <protection/>
    </xf>
    <xf numFmtId="0" fontId="37" fillId="0" borderId="123" xfId="34" applyFont="1" applyBorder="1" applyAlignment="1">
      <alignment horizontal="center" vertical="center" wrapText="1"/>
      <protection/>
    </xf>
    <xf numFmtId="49" fontId="42" fillId="0" borderId="124" xfId="34" applyNumberFormat="1" applyFont="1" applyBorder="1" applyAlignment="1">
      <alignment horizontal="left" vertical="center"/>
      <protection/>
    </xf>
    <xf numFmtId="0" fontId="31" fillId="0" borderId="30" xfId="34" applyFont="1" applyBorder="1">
      <alignment/>
      <protection/>
    </xf>
    <xf numFmtId="0" fontId="31" fillId="0" borderId="30" xfId="34" applyFont="1" applyBorder="1" applyAlignment="1">
      <alignment horizontal="center"/>
      <protection/>
    </xf>
    <xf numFmtId="3" fontId="38" fillId="0" borderId="30" xfId="34" applyNumberFormat="1" applyFont="1" applyBorder="1">
      <alignment/>
      <protection/>
    </xf>
    <xf numFmtId="3" fontId="31" fillId="0" borderId="30" xfId="34" applyNumberFormat="1" applyFont="1" applyBorder="1">
      <alignment/>
      <protection/>
    </xf>
    <xf numFmtId="3" fontId="31" fillId="0" borderId="77" xfId="34" applyNumberFormat="1" applyFont="1" applyBorder="1">
      <alignment/>
      <protection/>
    </xf>
    <xf numFmtId="3" fontId="31" fillId="0" borderId="23" xfId="34" applyNumberFormat="1" applyFont="1" applyBorder="1">
      <alignment/>
      <protection/>
    </xf>
    <xf numFmtId="0" fontId="31" fillId="0" borderId="125" xfId="34" applyFont="1" applyBorder="1">
      <alignment/>
      <protection/>
    </xf>
    <xf numFmtId="0" fontId="46" fillId="0" borderId="126" xfId="34" applyFont="1" applyBorder="1">
      <alignment/>
      <protection/>
    </xf>
    <xf numFmtId="49" fontId="46" fillId="0" borderId="32" xfId="34" applyNumberFormat="1" applyFont="1" applyBorder="1">
      <alignment/>
      <protection/>
    </xf>
    <xf numFmtId="0" fontId="31" fillId="0" borderId="23" xfId="34" applyFont="1" applyBorder="1">
      <alignment/>
      <protection/>
    </xf>
    <xf numFmtId="0" fontId="31" fillId="0" borderId="23" xfId="34" applyFont="1" applyBorder="1" applyAlignment="1">
      <alignment horizontal="center"/>
      <protection/>
    </xf>
    <xf numFmtId="3" fontId="38" fillId="0" borderId="23" xfId="34" applyNumberFormat="1" applyFont="1" applyBorder="1">
      <alignment/>
      <protection/>
    </xf>
    <xf numFmtId="3" fontId="48" fillId="0" borderId="23" xfId="34" applyNumberFormat="1" applyFont="1" applyBorder="1">
      <alignment/>
      <protection/>
    </xf>
    <xf numFmtId="3" fontId="31" fillId="0" borderId="78" xfId="34" applyNumberFormat="1" applyFont="1" applyBorder="1">
      <alignment/>
      <protection/>
    </xf>
    <xf numFmtId="3" fontId="31" fillId="0" borderId="125" xfId="34" applyNumberFormat="1" applyFont="1" applyBorder="1">
      <alignment/>
      <protection/>
    </xf>
    <xf numFmtId="49" fontId="49" fillId="0" borderId="24" xfId="34" applyNumberFormat="1" applyFont="1" applyBorder="1">
      <alignment/>
      <protection/>
    </xf>
    <xf numFmtId="3" fontId="50" fillId="0" borderId="23" xfId="34" applyNumberFormat="1" applyFont="1" applyBorder="1">
      <alignment/>
      <protection/>
    </xf>
    <xf numFmtId="3" fontId="44" fillId="0" borderId="78" xfId="34" applyNumberFormat="1" applyFont="1" applyBorder="1">
      <alignment/>
      <protection/>
    </xf>
    <xf numFmtId="3" fontId="44" fillId="0" borderId="23" xfId="34" applyNumberFormat="1" applyFont="1" applyBorder="1">
      <alignment/>
      <protection/>
    </xf>
    <xf numFmtId="3" fontId="44" fillId="0" borderId="125" xfId="34" applyNumberFormat="1" applyFont="1" applyBorder="1">
      <alignment/>
      <protection/>
    </xf>
    <xf numFmtId="0" fontId="39" fillId="0" borderId="127" xfId="34" applyFont="1" applyBorder="1">
      <alignment/>
      <protection/>
    </xf>
    <xf numFmtId="49" fontId="39" fillId="0" borderId="33" xfId="34" applyNumberFormat="1" applyFont="1" applyBorder="1">
      <alignment/>
      <protection/>
    </xf>
    <xf numFmtId="0" fontId="49" fillId="0" borderId="127" xfId="34" applyFont="1" applyBorder="1">
      <alignment/>
      <protection/>
    </xf>
    <xf numFmtId="49" fontId="49" fillId="0" borderId="33" xfId="34" applyNumberFormat="1" applyFont="1" applyBorder="1">
      <alignment/>
      <protection/>
    </xf>
    <xf numFmtId="170" fontId="39" fillId="0" borderId="23" xfId="34" applyNumberFormat="1" applyFont="1" applyBorder="1" applyAlignment="1">
      <alignment horizontal="right"/>
      <protection/>
    </xf>
    <xf numFmtId="3" fontId="39" fillId="0" borderId="23" xfId="34" applyNumberFormat="1" applyFont="1" applyBorder="1" applyAlignment="1">
      <alignment horizontal="center"/>
      <protection/>
    </xf>
    <xf numFmtId="3" fontId="42" fillId="0" borderId="23" xfId="34" applyNumberFormat="1" applyFont="1" applyBorder="1" applyAlignment="1">
      <alignment horizontal="right"/>
      <protection/>
    </xf>
    <xf numFmtId="49" fontId="51" fillId="0" borderId="33" xfId="34" applyNumberFormat="1" applyFont="1" applyBorder="1">
      <alignment/>
      <protection/>
    </xf>
    <xf numFmtId="0" fontId="52" fillId="0" borderId="23" xfId="34" applyFont="1" applyBorder="1">
      <alignment/>
      <protection/>
    </xf>
    <xf numFmtId="3" fontId="52" fillId="0" borderId="23" xfId="34" applyNumberFormat="1" applyFont="1" applyBorder="1" applyAlignment="1">
      <alignment horizontal="center"/>
      <protection/>
    </xf>
    <xf numFmtId="3" fontId="53" fillId="0" borderId="23" xfId="34" applyNumberFormat="1" applyFont="1" applyBorder="1" applyAlignment="1">
      <alignment horizontal="right"/>
      <protection/>
    </xf>
    <xf numFmtId="49" fontId="49" fillId="0" borderId="33" xfId="34" applyNumberFormat="1" applyFont="1" applyBorder="1">
      <alignment/>
      <protection/>
    </xf>
    <xf numFmtId="3" fontId="39" fillId="0" borderId="23" xfId="34" applyNumberFormat="1" applyFont="1" applyBorder="1">
      <alignment/>
      <protection/>
    </xf>
    <xf numFmtId="0" fontId="39" fillId="0" borderId="23" xfId="34" applyFont="1" applyBorder="1">
      <alignment/>
      <protection/>
    </xf>
    <xf numFmtId="3" fontId="42" fillId="0" borderId="23" xfId="34" applyNumberFormat="1" applyFont="1" applyBorder="1" applyAlignment="1">
      <alignment horizontal="right"/>
      <protection/>
    </xf>
    <xf numFmtId="0" fontId="46" fillId="0" borderId="127" xfId="34" applyFont="1" applyBorder="1">
      <alignment/>
      <protection/>
    </xf>
    <xf numFmtId="49" fontId="46" fillId="0" borderId="33" xfId="34" applyNumberFormat="1" applyFont="1" applyBorder="1">
      <alignment/>
      <protection/>
    </xf>
    <xf numFmtId="0" fontId="31" fillId="5" borderId="23" xfId="34" applyFont="1" applyFill="1" applyBorder="1">
      <alignment/>
      <protection/>
    </xf>
    <xf numFmtId="0" fontId="31" fillId="5" borderId="23" xfId="34" applyFont="1" applyFill="1" applyBorder="1" applyAlignment="1">
      <alignment horizontal="center"/>
      <protection/>
    </xf>
    <xf numFmtId="3" fontId="38" fillId="5" borderId="23" xfId="34" applyNumberFormat="1" applyFont="1" applyFill="1" applyBorder="1">
      <alignment/>
      <protection/>
    </xf>
    <xf numFmtId="3" fontId="50" fillId="0" borderId="78" xfId="34" applyNumberFormat="1" applyFont="1" applyBorder="1">
      <alignment/>
      <protection/>
    </xf>
    <xf numFmtId="3" fontId="50" fillId="0" borderId="125" xfId="34" applyNumberFormat="1" applyFont="1" applyBorder="1">
      <alignment/>
      <protection/>
    </xf>
    <xf numFmtId="49" fontId="46" fillId="0" borderId="24" xfId="34" applyNumberFormat="1" applyFont="1" applyBorder="1">
      <alignment/>
      <protection/>
    </xf>
    <xf numFmtId="0" fontId="54" fillId="0" borderId="23" xfId="34" applyFont="1" applyBorder="1" applyAlignment="1">
      <alignment horizontal="center"/>
      <protection/>
    </xf>
    <xf numFmtId="170" fontId="38" fillId="0" borderId="23" xfId="34" applyNumberFormat="1" applyFont="1" applyBorder="1">
      <alignment/>
      <protection/>
    </xf>
    <xf numFmtId="0" fontId="37" fillId="0" borderId="127" xfId="34" applyFont="1" applyBorder="1">
      <alignment/>
      <protection/>
    </xf>
    <xf numFmtId="49" fontId="37" fillId="0" borderId="33" xfId="34" applyNumberFormat="1" applyFont="1" applyBorder="1">
      <alignment/>
      <protection/>
    </xf>
    <xf numFmtId="0" fontId="38" fillId="0" borderId="23" xfId="34" applyFont="1" applyBorder="1">
      <alignment/>
      <protection/>
    </xf>
    <xf numFmtId="3" fontId="38" fillId="0" borderId="78" xfId="34" applyNumberFormat="1" applyFont="1" applyBorder="1">
      <alignment/>
      <protection/>
    </xf>
    <xf numFmtId="3" fontId="37" fillId="6" borderId="23" xfId="34" applyNumberFormat="1" applyFont="1" applyFill="1" applyBorder="1">
      <alignment/>
      <protection/>
    </xf>
    <xf numFmtId="49" fontId="46" fillId="0" borderId="33" xfId="34" applyNumberFormat="1" applyFont="1" applyBorder="1" applyAlignment="1">
      <alignment vertical="center" wrapText="1"/>
      <protection/>
    </xf>
    <xf numFmtId="49" fontId="39" fillId="0" borderId="33" xfId="34" applyNumberFormat="1" applyFont="1" applyBorder="1" applyAlignment="1">
      <alignment vertical="center" wrapText="1"/>
      <protection/>
    </xf>
    <xf numFmtId="169" fontId="31" fillId="0" borderId="23" xfId="34" applyNumberFormat="1" applyFont="1" applyBorder="1">
      <alignment/>
      <protection/>
    </xf>
    <xf numFmtId="49" fontId="37" fillId="0" borderId="33" xfId="34" applyNumberFormat="1" applyFont="1" applyBorder="1" applyAlignment="1">
      <alignment vertical="center" wrapText="1"/>
      <protection/>
    </xf>
    <xf numFmtId="0" fontId="39" fillId="0" borderId="127" xfId="34" applyFont="1" applyBorder="1">
      <alignment/>
      <protection/>
    </xf>
    <xf numFmtId="3" fontId="50" fillId="7" borderId="23" xfId="34" applyNumberFormat="1" applyFont="1" applyFill="1" applyBorder="1">
      <alignment/>
      <protection/>
    </xf>
    <xf numFmtId="49" fontId="42" fillId="0" borderId="33" xfId="34" applyNumberFormat="1" applyFont="1" applyBorder="1">
      <alignment/>
      <protection/>
    </xf>
    <xf numFmtId="0" fontId="37" fillId="0" borderId="126" xfId="34" applyFont="1" applyBorder="1">
      <alignment/>
      <protection/>
    </xf>
    <xf numFmtId="49" fontId="37" fillId="0" borderId="32" xfId="34" applyNumberFormat="1" applyFont="1" applyBorder="1">
      <alignment/>
      <protection/>
    </xf>
    <xf numFmtId="49" fontId="39" fillId="0" borderId="33" xfId="34" applyNumberFormat="1" applyFont="1" applyBorder="1">
      <alignment/>
      <protection/>
    </xf>
    <xf numFmtId="0" fontId="39" fillId="0" borderId="33" xfId="34" applyFont="1" applyBorder="1" applyAlignment="1">
      <alignment vertical="center" wrapText="1"/>
      <protection/>
    </xf>
    <xf numFmtId="0" fontId="31" fillId="0" borderId="23" xfId="34" applyBorder="1" applyAlignment="1">
      <alignment horizontal="center"/>
      <protection/>
    </xf>
    <xf numFmtId="3" fontId="55" fillId="0" borderId="23" xfId="34" applyNumberFormat="1" applyFont="1" applyBorder="1" applyAlignment="1">
      <alignment horizontal="center"/>
      <protection/>
    </xf>
    <xf numFmtId="49" fontId="37" fillId="0" borderId="127" xfId="34" applyNumberFormat="1" applyFont="1" applyBorder="1" applyAlignment="1">
      <alignment vertical="center" wrapText="1"/>
      <protection/>
    </xf>
    <xf numFmtId="49" fontId="37" fillId="0" borderId="24" xfId="34" applyNumberFormat="1" applyFont="1" applyBorder="1">
      <alignment/>
      <protection/>
    </xf>
    <xf numFmtId="0" fontId="31" fillId="0" borderId="78" xfId="34" applyFont="1" applyBorder="1">
      <alignment/>
      <protection/>
    </xf>
    <xf numFmtId="0" fontId="31" fillId="0" borderId="91" xfId="34" applyFont="1" applyBorder="1">
      <alignment/>
      <protection/>
    </xf>
    <xf numFmtId="0" fontId="31" fillId="0" borderId="33" xfId="34" applyFont="1" applyBorder="1">
      <alignment/>
      <protection/>
    </xf>
    <xf numFmtId="2" fontId="31" fillId="0" borderId="23" xfId="34" applyNumberFormat="1" applyFont="1" applyBorder="1">
      <alignment/>
      <protection/>
    </xf>
    <xf numFmtId="3" fontId="56" fillId="8" borderId="23" xfId="34" applyNumberFormat="1" applyFont="1" applyFill="1" applyBorder="1">
      <alignment/>
      <protection/>
    </xf>
    <xf numFmtId="0" fontId="39" fillId="0" borderId="126" xfId="34" applyFont="1" applyBorder="1">
      <alignment/>
      <protection/>
    </xf>
    <xf numFmtId="49" fontId="39" fillId="0" borderId="32" xfId="34" applyNumberFormat="1" applyFont="1" applyBorder="1" applyAlignment="1">
      <alignment vertical="center" wrapText="1"/>
      <protection/>
    </xf>
    <xf numFmtId="49" fontId="37" fillId="0" borderId="32" xfId="34" applyNumberFormat="1" applyFont="1" applyBorder="1" applyAlignment="1">
      <alignment vertical="center" wrapText="1"/>
      <protection/>
    </xf>
    <xf numFmtId="49" fontId="57" fillId="0" borderId="33" xfId="34" applyNumberFormat="1" applyFont="1" applyBorder="1" applyAlignment="1">
      <alignment vertical="center" wrapText="1"/>
      <protection/>
    </xf>
    <xf numFmtId="49" fontId="37" fillId="0" borderId="127" xfId="34" applyNumberFormat="1" applyFont="1" applyBorder="1" applyAlignment="1">
      <alignment horizontal="left" wrapText="1"/>
      <protection/>
    </xf>
    <xf numFmtId="10" fontId="38" fillId="0" borderId="23" xfId="34" applyNumberFormat="1" applyFont="1" applyBorder="1">
      <alignment/>
      <protection/>
    </xf>
    <xf numFmtId="49" fontId="42" fillId="0" borderId="33" xfId="34" applyNumberFormat="1" applyFont="1" applyBorder="1" applyAlignment="1">
      <alignment vertical="center" wrapText="1"/>
      <protection/>
    </xf>
    <xf numFmtId="3" fontId="37" fillId="0" borderId="23" xfId="34" applyNumberFormat="1" applyFont="1" applyBorder="1">
      <alignment/>
      <protection/>
    </xf>
    <xf numFmtId="0" fontId="46" fillId="0" borderId="128" xfId="34" applyFont="1" applyBorder="1">
      <alignment/>
      <protection/>
    </xf>
    <xf numFmtId="49" fontId="58" fillId="0" borderId="129" xfId="34" applyNumberFormat="1" applyFont="1" applyBorder="1" applyAlignment="1">
      <alignment vertical="center" wrapText="1"/>
      <protection/>
    </xf>
    <xf numFmtId="0" fontId="31" fillId="0" borderId="121" xfId="34" applyFont="1" applyBorder="1">
      <alignment/>
      <protection/>
    </xf>
    <xf numFmtId="0" fontId="31" fillId="0" borderId="121" xfId="34" applyFont="1" applyBorder="1" applyAlignment="1">
      <alignment horizontal="center"/>
      <protection/>
    </xf>
    <xf numFmtId="3" fontId="38" fillId="0" borderId="121" xfId="34" applyNumberFormat="1" applyFont="1" applyBorder="1">
      <alignment/>
      <protection/>
    </xf>
    <xf numFmtId="3" fontId="31" fillId="0" borderId="121" xfId="34" applyNumberFormat="1" applyFont="1" applyBorder="1">
      <alignment/>
      <protection/>
    </xf>
    <xf numFmtId="0" fontId="39" fillId="0" borderId="130" xfId="34" applyFont="1" applyBorder="1">
      <alignment/>
      <protection/>
    </xf>
    <xf numFmtId="49" fontId="52" fillId="0" borderId="43" xfId="34" applyNumberFormat="1" applyFont="1" applyBorder="1" applyAlignment="1">
      <alignment vertical="center" wrapText="1"/>
      <protection/>
    </xf>
    <xf numFmtId="0" fontId="39" fillId="0" borderId="131" xfId="34" applyFont="1" applyBorder="1">
      <alignment/>
      <protection/>
    </xf>
    <xf numFmtId="0" fontId="31" fillId="0" borderId="35" xfId="34" applyFont="1" applyBorder="1">
      <alignment/>
      <protection/>
    </xf>
    <xf numFmtId="0" fontId="31" fillId="0" borderId="35" xfId="34" applyFont="1" applyBorder="1" applyAlignment="1">
      <alignment horizontal="center"/>
      <protection/>
    </xf>
    <xf numFmtId="3" fontId="38" fillId="0" borderId="35" xfId="34" applyNumberFormat="1" applyFont="1" applyBorder="1">
      <alignment/>
      <protection/>
    </xf>
    <xf numFmtId="3" fontId="31" fillId="8" borderId="35" xfId="34" applyNumberFormat="1" applyFont="1" applyFill="1" applyBorder="1">
      <alignment/>
      <protection/>
    </xf>
    <xf numFmtId="0" fontId="39" fillId="0" borderId="132" xfId="34" applyFont="1" applyBorder="1">
      <alignment/>
      <protection/>
    </xf>
    <xf numFmtId="49" fontId="52" fillId="0" borderId="23" xfId="34" applyNumberFormat="1" applyFont="1" applyBorder="1">
      <alignment/>
      <protection/>
    </xf>
    <xf numFmtId="49" fontId="52" fillId="0" borderId="30" xfId="34" applyNumberFormat="1" applyFont="1" applyBorder="1" applyAlignment="1">
      <alignment vertical="center" wrapText="1"/>
      <protection/>
    </xf>
    <xf numFmtId="49" fontId="52" fillId="0" borderId="35" xfId="34" applyNumberFormat="1" applyFont="1" applyBorder="1">
      <alignment/>
      <protection/>
    </xf>
    <xf numFmtId="3" fontId="31" fillId="0" borderId="35" xfId="34" applyNumberFormat="1" applyFont="1" applyBorder="1">
      <alignment/>
      <protection/>
    </xf>
    <xf numFmtId="3" fontId="31" fillId="0" borderId="85" xfId="34" applyNumberFormat="1" applyFont="1" applyBorder="1">
      <alignment/>
      <protection/>
    </xf>
    <xf numFmtId="3" fontId="31" fillId="0" borderId="133" xfId="34" applyNumberFormat="1" applyFont="1" applyBorder="1">
      <alignment/>
      <protection/>
    </xf>
    <xf numFmtId="49" fontId="58" fillId="0" borderId="27" xfId="34" applyNumberFormat="1" applyFont="1" applyBorder="1">
      <alignment/>
      <protection/>
    </xf>
    <xf numFmtId="0" fontId="31" fillId="0" borderId="27" xfId="34" applyFont="1" applyBorder="1">
      <alignment/>
      <protection/>
    </xf>
    <xf numFmtId="0" fontId="31" fillId="0" borderId="27" xfId="34" applyFont="1" applyBorder="1" applyAlignment="1">
      <alignment horizontal="center"/>
      <protection/>
    </xf>
    <xf numFmtId="3" fontId="38" fillId="0" borderId="27" xfId="34" applyNumberFormat="1" applyFont="1" applyBorder="1">
      <alignment/>
      <protection/>
    </xf>
    <xf numFmtId="3" fontId="31" fillId="0" borderId="27" xfId="34" applyNumberFormat="1" applyFont="1" applyBorder="1">
      <alignment/>
      <protection/>
    </xf>
    <xf numFmtId="3" fontId="31" fillId="0" borderId="79" xfId="34" applyNumberFormat="1" applyFont="1" applyBorder="1">
      <alignment/>
      <protection/>
    </xf>
    <xf numFmtId="3" fontId="50" fillId="0" borderId="27" xfId="34" applyNumberFormat="1" applyFont="1" applyBorder="1">
      <alignment/>
      <protection/>
    </xf>
    <xf numFmtId="3" fontId="50" fillId="0" borderId="134" xfId="34" applyNumberFormat="1" applyFont="1" applyBorder="1">
      <alignment/>
      <protection/>
    </xf>
    <xf numFmtId="49" fontId="52" fillId="0" borderId="23" xfId="34" applyNumberFormat="1" applyFont="1" applyBorder="1" applyAlignment="1">
      <alignment vertical="center" wrapText="1"/>
      <protection/>
    </xf>
    <xf numFmtId="0" fontId="39" fillId="0" borderId="135" xfId="34" applyFont="1" applyBorder="1">
      <alignment/>
      <protection/>
    </xf>
    <xf numFmtId="49" fontId="58" fillId="0" borderId="121" xfId="34" applyNumberFormat="1" applyFont="1" applyBorder="1">
      <alignment/>
      <protection/>
    </xf>
    <xf numFmtId="3" fontId="50" fillId="0" borderId="121" xfId="34" applyNumberFormat="1" applyFont="1" applyBorder="1">
      <alignment/>
      <protection/>
    </xf>
    <xf numFmtId="3" fontId="50" fillId="0" borderId="136" xfId="34" applyNumberFormat="1" applyFont="1" applyBorder="1">
      <alignment/>
      <protection/>
    </xf>
    <xf numFmtId="0" fontId="39" fillId="0" borderId="0" xfId="34" applyFont="1">
      <alignment/>
      <protection/>
    </xf>
    <xf numFmtId="49" fontId="39" fillId="0" borderId="0" xfId="34" applyNumberFormat="1" applyFont="1">
      <alignment/>
      <protection/>
    </xf>
    <xf numFmtId="49" fontId="31" fillId="0" borderId="0" xfId="34" applyNumberFormat="1">
      <alignment/>
      <protection/>
    </xf>
    <xf numFmtId="49" fontId="39" fillId="0" borderId="23" xfId="34" applyNumberFormat="1" applyFont="1" applyBorder="1">
      <alignment/>
      <protection/>
    </xf>
    <xf numFmtId="49" fontId="37" fillId="0" borderId="23" xfId="34" applyNumberFormat="1" applyFont="1" applyBorder="1">
      <alignment/>
      <protection/>
    </xf>
    <xf numFmtId="3" fontId="31" fillId="0" borderId="87" xfId="34" applyNumberFormat="1" applyFont="1" applyBorder="1">
      <alignment/>
      <protection/>
    </xf>
    <xf numFmtId="49" fontId="37" fillId="0" borderId="23" xfId="34" applyNumberFormat="1" applyFont="1" applyBorder="1" applyAlignment="1">
      <alignment horizontal="right"/>
      <protection/>
    </xf>
    <xf numFmtId="3" fontId="5" fillId="0" borderId="36" xfId="20" applyNumberFormat="1" applyFont="1" applyFill="1" applyBorder="1" applyAlignment="1">
      <alignment vertical="center"/>
      <protection/>
    </xf>
    <xf numFmtId="3" fontId="10" fillId="0" borderId="36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14" fontId="10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3" fontId="10" fillId="0" borderId="25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78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14" fontId="10" fillId="2" borderId="78" xfId="0" applyNumberFormat="1" applyFont="1" applyFill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14" fontId="10" fillId="0" borderId="78" xfId="0" applyNumberFormat="1" applyFont="1" applyBorder="1" applyAlignment="1">
      <alignment horizontal="center" vertical="center"/>
    </xf>
    <xf numFmtId="14" fontId="10" fillId="0" borderId="78" xfId="0" applyNumberFormat="1" applyFont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77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14" fontId="10" fillId="2" borderId="77" xfId="0" applyNumberFormat="1" applyFont="1" applyFill="1" applyBorder="1" applyAlignment="1">
      <alignment horizontal="center" vertical="center"/>
    </xf>
    <xf numFmtId="14" fontId="10" fillId="0" borderId="30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3" fontId="11" fillId="0" borderId="118" xfId="36" applyNumberFormat="1" applyFont="1" applyBorder="1" applyAlignment="1">
      <alignment horizontal="center" vertical="center" wrapText="1"/>
      <protection/>
    </xf>
    <xf numFmtId="0" fontId="11" fillId="0" borderId="44" xfId="28" applyFont="1" applyBorder="1" applyAlignment="1">
      <alignment horizontal="center" vertical="center" wrapText="1"/>
      <protection/>
    </xf>
    <xf numFmtId="3" fontId="11" fillId="0" borderId="38" xfId="28" applyNumberFormat="1" applyFont="1" applyBorder="1" applyAlignment="1">
      <alignment horizontal="center" vertical="center" wrapText="1"/>
      <protection/>
    </xf>
    <xf numFmtId="0" fontId="11" fillId="0" borderId="38" xfId="28" applyFont="1" applyBorder="1" applyAlignment="1">
      <alignment horizontal="center" vertical="center" wrapText="1"/>
      <protection/>
    </xf>
    <xf numFmtId="0" fontId="11" fillId="0" borderId="39" xfId="28" applyFont="1" applyBorder="1" applyAlignment="1">
      <alignment horizontal="center" vertical="center" wrapText="1"/>
      <protection/>
    </xf>
    <xf numFmtId="0" fontId="11" fillId="0" borderId="44" xfId="28" applyFont="1" applyBorder="1" applyAlignment="1">
      <alignment vertical="center" wrapText="1"/>
      <protection/>
    </xf>
    <xf numFmtId="3" fontId="11" fillId="0" borderId="38" xfId="28" applyNumberFormat="1" applyFont="1" applyBorder="1" applyAlignment="1">
      <alignment vertical="center"/>
      <protection/>
    </xf>
    <xf numFmtId="3" fontId="11" fillId="0" borderId="39" xfId="28" applyNumberFormat="1" applyFont="1" applyBorder="1" applyAlignment="1">
      <alignment vertical="center"/>
      <protection/>
    </xf>
    <xf numFmtId="0" fontId="10" fillId="0" borderId="24" xfId="28" applyFont="1" applyBorder="1" applyAlignment="1">
      <alignment vertical="center" wrapText="1"/>
      <protection/>
    </xf>
    <xf numFmtId="3" fontId="10" fillId="0" borderId="23" xfId="28" applyNumberFormat="1" applyFont="1" applyBorder="1" applyAlignment="1">
      <alignment vertical="center"/>
      <protection/>
    </xf>
    <xf numFmtId="3" fontId="17" fillId="0" borderId="23" xfId="29" applyNumberFormat="1" applyFont="1" applyBorder="1" applyAlignment="1">
      <alignment vertical="center"/>
      <protection/>
    </xf>
    <xf numFmtId="3" fontId="17" fillId="0" borderId="25" xfId="29" applyNumberFormat="1" applyFont="1" applyBorder="1" applyAlignment="1">
      <alignment vertical="center"/>
      <protection/>
    </xf>
    <xf numFmtId="3" fontId="10" fillId="0" borderId="25" xfId="28" applyNumberFormat="1" applyFont="1" applyBorder="1" applyAlignment="1">
      <alignment vertical="center"/>
      <protection/>
    </xf>
    <xf numFmtId="49" fontId="17" fillId="2" borderId="24" xfId="29" applyNumberFormat="1" applyFont="1" applyFill="1" applyBorder="1" applyAlignment="1">
      <alignment vertical="center" wrapText="1"/>
      <protection/>
    </xf>
    <xf numFmtId="49" fontId="17" fillId="2" borderId="24" xfId="29" applyNumberFormat="1" applyFont="1" applyFill="1" applyBorder="1" applyAlignment="1">
      <alignment horizontal="left" vertical="center" wrapText="1"/>
      <protection/>
    </xf>
    <xf numFmtId="3" fontId="17" fillId="2" borderId="23" xfId="29" applyNumberFormat="1" applyFont="1" applyFill="1" applyBorder="1" applyAlignment="1">
      <alignment vertical="center"/>
      <protection/>
    </xf>
    <xf numFmtId="3" fontId="10" fillId="0" borderId="23" xfId="29" applyNumberFormat="1" applyFont="1" applyBorder="1" applyAlignment="1">
      <alignment vertical="center"/>
      <protection/>
    </xf>
    <xf numFmtId="3" fontId="10" fillId="0" borderId="25" xfId="29" applyNumberFormat="1" applyFont="1" applyBorder="1" applyAlignment="1">
      <alignment vertical="center"/>
      <protection/>
    </xf>
    <xf numFmtId="49" fontId="10" fillId="2" borderId="24" xfId="28" applyNumberFormat="1" applyFont="1" applyFill="1" applyBorder="1" applyAlignment="1">
      <alignment vertical="center" wrapText="1"/>
      <protection/>
    </xf>
    <xf numFmtId="3" fontId="7" fillId="2" borderId="23" xfId="28" applyNumberFormat="1" applyFont="1" applyFill="1" applyBorder="1" applyAlignment="1">
      <alignment vertical="center"/>
      <protection/>
    </xf>
    <xf numFmtId="49" fontId="10" fillId="2" borderId="24" xfId="29" applyNumberFormat="1" applyFont="1" applyFill="1" applyBorder="1" applyAlignment="1">
      <alignment horizontal="left" vertical="center" wrapText="1"/>
      <protection/>
    </xf>
    <xf numFmtId="3" fontId="7" fillId="0" borderId="23" xfId="28" applyNumberFormat="1" applyFont="1" applyBorder="1" applyAlignment="1">
      <alignment vertical="center"/>
      <protection/>
    </xf>
    <xf numFmtId="0" fontId="35" fillId="0" borderId="23" xfId="0" applyFont="1" applyBorder="1"/>
    <xf numFmtId="0" fontId="10" fillId="0" borderId="34" xfId="28" applyFont="1" applyBorder="1" applyAlignment="1">
      <alignment vertical="center" wrapText="1"/>
      <protection/>
    </xf>
    <xf numFmtId="3" fontId="7" fillId="0" borderId="35" xfId="28" applyNumberFormat="1" applyFont="1" applyBorder="1" applyAlignment="1">
      <alignment vertical="center"/>
      <protection/>
    </xf>
    <xf numFmtId="3" fontId="17" fillId="0" borderId="35" xfId="29" applyNumberFormat="1" applyFont="1" applyBorder="1" applyAlignment="1">
      <alignment vertical="center"/>
      <protection/>
    </xf>
    <xf numFmtId="3" fontId="17" fillId="0" borderId="36" xfId="29" applyNumberFormat="1" applyFont="1" applyBorder="1" applyAlignment="1">
      <alignment vertical="center"/>
      <protection/>
    </xf>
    <xf numFmtId="0" fontId="10" fillId="0" borderId="29" xfId="28" applyFont="1" applyBorder="1" applyAlignment="1">
      <alignment vertical="center" wrapText="1"/>
      <protection/>
    </xf>
    <xf numFmtId="3" fontId="11" fillId="0" borderId="30" xfId="28" applyNumberFormat="1" applyFont="1" applyBorder="1" applyAlignment="1">
      <alignment vertical="center"/>
      <protection/>
    </xf>
    <xf numFmtId="3" fontId="10" fillId="0" borderId="30" xfId="28" applyNumberFormat="1" applyFont="1" applyBorder="1" applyAlignment="1">
      <alignment vertical="center"/>
      <protection/>
    </xf>
    <xf numFmtId="3" fontId="10" fillId="0" borderId="31" xfId="28" applyNumberFormat="1" applyFont="1" applyBorder="1" applyAlignment="1">
      <alignment vertical="center"/>
      <protection/>
    </xf>
    <xf numFmtId="3" fontId="11" fillId="0" borderId="23" xfId="28" applyNumberFormat="1" applyFont="1" applyBorder="1" applyAlignment="1">
      <alignment vertical="center"/>
      <protection/>
    </xf>
    <xf numFmtId="3" fontId="11" fillId="0" borderId="35" xfId="28" applyNumberFormat="1" applyFont="1" applyBorder="1" applyAlignment="1">
      <alignment vertical="center"/>
      <protection/>
    </xf>
    <xf numFmtId="3" fontId="10" fillId="0" borderId="35" xfId="28" applyNumberFormat="1" applyFont="1" applyBorder="1" applyAlignment="1">
      <alignment vertical="center"/>
      <protection/>
    </xf>
    <xf numFmtId="3" fontId="10" fillId="0" borderId="36" xfId="28" applyNumberFormat="1" applyFont="1" applyBorder="1" applyAlignment="1">
      <alignment vertical="center"/>
      <protection/>
    </xf>
    <xf numFmtId="0" fontId="11" fillId="0" borderId="87" xfId="28" applyFont="1" applyBorder="1" applyAlignment="1">
      <alignment horizontal="center" vertical="center" wrapText="1"/>
      <protection/>
    </xf>
    <xf numFmtId="0" fontId="11" fillId="0" borderId="88" xfId="28" applyFont="1" applyBorder="1" applyAlignment="1">
      <alignment horizontal="center" vertical="center" wrapText="1"/>
      <protection/>
    </xf>
    <xf numFmtId="0" fontId="11" fillId="0" borderId="87" xfId="28" applyFont="1" applyBorder="1" applyAlignment="1">
      <alignment vertical="center" wrapText="1"/>
      <protection/>
    </xf>
    <xf numFmtId="3" fontId="11" fillId="0" borderId="88" xfId="28" applyNumberFormat="1" applyFont="1" applyBorder="1" applyAlignment="1">
      <alignment vertical="center"/>
      <protection/>
    </xf>
    <xf numFmtId="0" fontId="10" fillId="0" borderId="80" xfId="28" applyFont="1" applyBorder="1" applyAlignment="1">
      <alignment vertical="center" wrapText="1"/>
      <protection/>
    </xf>
    <xf numFmtId="3" fontId="10" fillId="0" borderId="32" xfId="28" applyNumberFormat="1" applyFont="1" applyBorder="1" applyAlignment="1">
      <alignment vertical="center"/>
      <protection/>
    </xf>
    <xf numFmtId="0" fontId="11" fillId="0" borderId="81" xfId="28" applyFont="1" applyBorder="1" applyAlignment="1">
      <alignment vertical="center" wrapText="1"/>
      <protection/>
    </xf>
    <xf numFmtId="3" fontId="11" fillId="0" borderId="33" xfId="28" applyNumberFormat="1" applyFont="1" applyBorder="1" applyAlignment="1">
      <alignment vertical="center"/>
      <protection/>
    </xf>
    <xf numFmtId="3" fontId="11" fillId="0" borderId="25" xfId="28" applyNumberFormat="1" applyFont="1" applyBorder="1" applyAlignment="1">
      <alignment horizontal="right" vertical="center"/>
      <protection/>
    </xf>
    <xf numFmtId="0" fontId="10" fillId="2" borderId="81" xfId="28" applyFont="1" applyFill="1" applyBorder="1" applyAlignment="1">
      <alignment vertical="center" wrapText="1"/>
      <protection/>
    </xf>
    <xf numFmtId="3" fontId="10" fillId="0" borderId="33" xfId="28" applyNumberFormat="1" applyFont="1" applyBorder="1" applyAlignment="1">
      <alignment vertical="center"/>
      <protection/>
    </xf>
    <xf numFmtId="3" fontId="10" fillId="0" borderId="25" xfId="28" applyNumberFormat="1" applyFont="1" applyBorder="1" applyAlignment="1">
      <alignment horizontal="right" vertical="center"/>
      <protection/>
    </xf>
    <xf numFmtId="49" fontId="10" fillId="2" borderId="81" xfId="29" applyNumberFormat="1" applyFont="1" applyFill="1" applyBorder="1" applyAlignment="1">
      <alignment horizontal="left" vertical="center" wrapText="1"/>
      <protection/>
    </xf>
    <xf numFmtId="49" fontId="17" fillId="2" borderId="81" xfId="29" applyNumberFormat="1" applyFont="1" applyFill="1" applyBorder="1" applyAlignment="1">
      <alignment vertical="center" wrapText="1"/>
      <protection/>
    </xf>
    <xf numFmtId="3" fontId="10" fillId="0" borderId="33" xfId="28" applyNumberFormat="1" applyFont="1" applyBorder="1" applyAlignment="1">
      <alignment vertical="center" wrapText="1"/>
      <protection/>
    </xf>
    <xf numFmtId="3" fontId="10" fillId="0" borderId="23" xfId="28" applyNumberFormat="1" applyFont="1" applyBorder="1" applyAlignment="1">
      <alignment vertical="center" wrapText="1"/>
      <protection/>
    </xf>
    <xf numFmtId="0" fontId="11" fillId="2" borderId="81" xfId="28" applyFont="1" applyFill="1" applyBorder="1" applyAlignment="1">
      <alignment vertical="center" wrapText="1"/>
      <protection/>
    </xf>
    <xf numFmtId="3" fontId="10" fillId="0" borderId="25" xfId="28" applyNumberFormat="1" applyFont="1" applyBorder="1" applyAlignment="1">
      <alignment horizontal="right" vertical="center" wrapText="1"/>
      <protection/>
    </xf>
    <xf numFmtId="3" fontId="17" fillId="0" borderId="33" xfId="29" applyNumberFormat="1" applyFont="1" applyBorder="1" applyAlignment="1">
      <alignment vertical="center"/>
      <protection/>
    </xf>
    <xf numFmtId="49" fontId="7" fillId="2" borderId="81" xfId="29" applyNumberFormat="1" applyFont="1" applyFill="1" applyBorder="1" applyAlignment="1">
      <alignment horizontal="left" vertical="center" wrapText="1"/>
      <protection/>
    </xf>
    <xf numFmtId="3" fontId="7" fillId="0" borderId="33" xfId="29" applyNumberFormat="1" applyFont="1" applyBorder="1" applyAlignment="1">
      <alignment vertical="center"/>
      <protection/>
    </xf>
    <xf numFmtId="3" fontId="7" fillId="0" borderId="23" xfId="29" applyNumberFormat="1" applyFont="1" applyBorder="1" applyAlignment="1">
      <alignment vertical="center"/>
      <protection/>
    </xf>
    <xf numFmtId="49" fontId="10" fillId="2" borderId="81" xfId="28" applyNumberFormat="1" applyFont="1" applyFill="1" applyBorder="1" applyAlignment="1">
      <alignment vertical="center" wrapText="1"/>
      <protection/>
    </xf>
    <xf numFmtId="3" fontId="7" fillId="0" borderId="33" xfId="28" applyNumberFormat="1" applyFont="1" applyBorder="1" applyAlignment="1">
      <alignment vertical="center"/>
      <protection/>
    </xf>
    <xf numFmtId="0" fontId="7" fillId="0" borderId="81" xfId="0" applyFont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36" fillId="0" borderId="23" xfId="0" applyFont="1" applyBorder="1"/>
    <xf numFmtId="49" fontId="17" fillId="2" borderId="86" xfId="29" applyNumberFormat="1" applyFont="1" applyFill="1" applyBorder="1" applyAlignment="1">
      <alignment horizontal="left" vertical="center" wrapText="1"/>
      <protection/>
    </xf>
    <xf numFmtId="3" fontId="17" fillId="0" borderId="37" xfId="29" applyNumberFormat="1" applyFont="1" applyBorder="1" applyAlignment="1">
      <alignment vertical="center"/>
      <protection/>
    </xf>
    <xf numFmtId="3" fontId="17" fillId="0" borderId="36" xfId="29" applyNumberFormat="1" applyFont="1" applyBorder="1" applyAlignment="1">
      <alignment horizontal="right" vertical="center"/>
      <protection/>
    </xf>
    <xf numFmtId="3" fontId="24" fillId="0" borderId="88" xfId="28" applyNumberFormat="1" applyFont="1" applyBorder="1" applyAlignment="1">
      <alignment vertical="center"/>
      <protection/>
    </xf>
    <xf numFmtId="3" fontId="24" fillId="0" borderId="38" xfId="28" applyNumberFormat="1" applyFont="1" applyBorder="1" applyAlignment="1">
      <alignment vertical="center"/>
      <protection/>
    </xf>
    <xf numFmtId="3" fontId="24" fillId="0" borderId="39" xfId="28" applyNumberFormat="1" applyFont="1" applyBorder="1" applyAlignment="1">
      <alignment horizontal="right" vertical="center"/>
      <protection/>
    </xf>
    <xf numFmtId="0" fontId="11" fillId="2" borderId="80" xfId="28" applyFont="1" applyFill="1" applyBorder="1" applyAlignment="1">
      <alignment vertical="center" wrapText="1"/>
      <protection/>
    </xf>
    <xf numFmtId="3" fontId="24" fillId="0" borderId="32" xfId="28" applyNumberFormat="1" applyFont="1" applyBorder="1" applyAlignment="1">
      <alignment vertical="center"/>
      <protection/>
    </xf>
    <xf numFmtId="3" fontId="24" fillId="0" borderId="30" xfId="28" applyNumberFormat="1" applyFont="1" applyBorder="1" applyAlignment="1">
      <alignment vertical="center"/>
      <protection/>
    </xf>
    <xf numFmtId="3" fontId="24" fillId="0" borderId="31" xfId="28" applyNumberFormat="1" applyFont="1" applyBorder="1" applyAlignment="1">
      <alignment horizontal="right" vertical="center"/>
      <protection/>
    </xf>
    <xf numFmtId="0" fontId="14" fillId="2" borderId="81" xfId="28" applyFont="1" applyFill="1" applyBorder="1" applyAlignment="1">
      <alignment vertical="center" wrapText="1"/>
      <protection/>
    </xf>
    <xf numFmtId="3" fontId="24" fillId="0" borderId="33" xfId="28" applyNumberFormat="1" applyFont="1" applyBorder="1" applyAlignment="1">
      <alignment vertical="center"/>
      <protection/>
    </xf>
    <xf numFmtId="3" fontId="24" fillId="0" borderId="23" xfId="28" applyNumberFormat="1" applyFont="1" applyBorder="1" applyAlignment="1">
      <alignment vertical="center"/>
      <protection/>
    </xf>
    <xf numFmtId="3" fontId="24" fillId="0" borderId="25" xfId="28" applyNumberFormat="1" applyFont="1" applyBorder="1" applyAlignment="1">
      <alignment horizontal="right" vertical="center"/>
      <protection/>
    </xf>
    <xf numFmtId="3" fontId="17" fillId="0" borderId="25" xfId="29" applyNumberFormat="1" applyFont="1" applyBorder="1" applyAlignment="1">
      <alignment horizontal="right" vertical="center"/>
      <protection/>
    </xf>
    <xf numFmtId="3" fontId="7" fillId="0" borderId="25" xfId="28" applyNumberFormat="1" applyFont="1" applyBorder="1" applyAlignment="1">
      <alignment horizontal="right" vertical="center"/>
      <protection/>
    </xf>
    <xf numFmtId="3" fontId="26" fillId="0" borderId="33" xfId="28" applyNumberFormat="1" applyFont="1" applyBorder="1" applyAlignment="1">
      <alignment vertical="center"/>
      <protection/>
    </xf>
    <xf numFmtId="3" fontId="26" fillId="0" borderId="23" xfId="28" applyNumberFormat="1" applyFont="1" applyBorder="1" applyAlignment="1">
      <alignment vertical="center"/>
      <protection/>
    </xf>
    <xf numFmtId="3" fontId="18" fillId="0" borderId="25" xfId="29" applyNumberFormat="1" applyFont="1" applyBorder="1" applyAlignment="1">
      <alignment horizontal="right" vertical="center"/>
      <protection/>
    </xf>
    <xf numFmtId="3" fontId="14" fillId="0" borderId="33" xfId="28" applyNumberFormat="1" applyFont="1" applyBorder="1" applyAlignment="1">
      <alignment vertical="center"/>
      <protection/>
    </xf>
    <xf numFmtId="3" fontId="14" fillId="0" borderId="23" xfId="28" applyNumberFormat="1" applyFont="1" applyBorder="1" applyAlignment="1">
      <alignment vertical="center"/>
      <protection/>
    </xf>
    <xf numFmtId="0" fontId="10" fillId="2" borderId="86" xfId="28" applyFont="1" applyFill="1" applyBorder="1" applyAlignment="1">
      <alignment vertical="center" wrapText="1"/>
      <protection/>
    </xf>
    <xf numFmtId="3" fontId="10" fillId="0" borderId="37" xfId="28" applyNumberFormat="1" applyFont="1" applyBorder="1" applyAlignment="1">
      <alignment vertical="center"/>
      <protection/>
    </xf>
    <xf numFmtId="3" fontId="10" fillId="0" borderId="36" xfId="28" applyNumberFormat="1" applyFont="1" applyBorder="1" applyAlignment="1">
      <alignment horizontal="right" vertical="center"/>
      <protection/>
    </xf>
    <xf numFmtId="3" fontId="11" fillId="0" borderId="90" xfId="28" applyNumberFormat="1" applyFont="1" applyBorder="1" applyAlignment="1">
      <alignment vertical="center"/>
      <protection/>
    </xf>
    <xf numFmtId="3" fontId="11" fillId="0" borderId="87" xfId="28" applyNumberFormat="1" applyFont="1" applyBorder="1" applyAlignment="1">
      <alignment vertical="center"/>
      <protection/>
    </xf>
    <xf numFmtId="3" fontId="11" fillId="0" borderId="0" xfId="28" applyNumberFormat="1" applyFont="1" applyAlignment="1">
      <alignment vertical="center"/>
      <protection/>
    </xf>
    <xf numFmtId="0" fontId="10" fillId="2" borderId="80" xfId="28" applyFont="1" applyFill="1" applyBorder="1" applyAlignment="1">
      <alignment vertical="center" wrapText="1"/>
      <protection/>
    </xf>
    <xf numFmtId="3" fontId="10" fillId="0" borderId="31" xfId="28" applyNumberFormat="1" applyFont="1" applyBorder="1" applyAlignment="1">
      <alignment horizontal="right" vertical="center"/>
      <protection/>
    </xf>
    <xf numFmtId="49" fontId="10" fillId="0" borderId="0" xfId="0" applyNumberFormat="1" applyFont="1" applyAlignment="1">
      <alignment horizontal="right" vertical="center"/>
    </xf>
    <xf numFmtId="0" fontId="7" fillId="2" borderId="81" xfId="28" applyFont="1" applyFill="1" applyBorder="1" applyAlignment="1">
      <alignment vertical="center" wrapText="1"/>
      <protection/>
    </xf>
    <xf numFmtId="3" fontId="11" fillId="0" borderId="87" xfId="28" applyNumberFormat="1" applyFont="1" applyBorder="1" applyAlignment="1">
      <alignment horizontal="right" vertical="center"/>
      <protection/>
    </xf>
    <xf numFmtId="3" fontId="10" fillId="0" borderId="0" xfId="28" applyNumberFormat="1" applyFont="1" applyAlignment="1">
      <alignment horizontal="left" vertical="center" wrapText="1"/>
      <protection/>
    </xf>
    <xf numFmtId="168" fontId="10" fillId="0" borderId="0" xfId="30" applyNumberFormat="1" applyFont="1" applyAlignment="1">
      <alignment horizontal="left" vertical="center" wrapText="1"/>
    </xf>
    <xf numFmtId="168" fontId="11" fillId="0" borderId="0" xfId="28" applyNumberFormat="1" applyFont="1" applyAlignment="1">
      <alignment horizontal="left" vertical="center" wrapText="1"/>
      <protection/>
    </xf>
    <xf numFmtId="3" fontId="11" fillId="0" borderId="0" xfId="28" applyNumberFormat="1" applyFont="1" applyAlignment="1">
      <alignment horizontal="left" vertical="center" wrapText="1"/>
      <protection/>
    </xf>
    <xf numFmtId="3" fontId="31" fillId="2" borderId="78" xfId="34" applyNumberFormat="1" applyFont="1" applyFill="1" applyBorder="1">
      <alignment/>
      <protection/>
    </xf>
    <xf numFmtId="3" fontId="31" fillId="2" borderId="23" xfId="34" applyNumberFormat="1" applyFont="1" applyFill="1" applyBorder="1">
      <alignment/>
      <protection/>
    </xf>
    <xf numFmtId="3" fontId="31" fillId="2" borderId="125" xfId="34" applyNumberFormat="1" applyFont="1" applyFill="1" applyBorder="1">
      <alignment/>
      <protection/>
    </xf>
    <xf numFmtId="3" fontId="37" fillId="2" borderId="78" xfId="34" applyNumberFormat="1" applyFont="1" applyFill="1" applyBorder="1">
      <alignment/>
      <protection/>
    </xf>
    <xf numFmtId="3" fontId="37" fillId="2" borderId="23" xfId="34" applyNumberFormat="1" applyFont="1" applyFill="1" applyBorder="1">
      <alignment/>
      <protection/>
    </xf>
    <xf numFmtId="3" fontId="37" fillId="2" borderId="125" xfId="34" applyNumberFormat="1" applyFont="1" applyFill="1" applyBorder="1">
      <alignment/>
      <protection/>
    </xf>
    <xf numFmtId="3" fontId="50" fillId="2" borderId="78" xfId="34" applyNumberFormat="1" applyFont="1" applyFill="1" applyBorder="1">
      <alignment/>
      <protection/>
    </xf>
    <xf numFmtId="3" fontId="50" fillId="2" borderId="23" xfId="34" applyNumberFormat="1" applyFont="1" applyFill="1" applyBorder="1">
      <alignment/>
      <protection/>
    </xf>
    <xf numFmtId="3" fontId="50" fillId="2" borderId="125" xfId="34" applyNumberFormat="1" applyFont="1" applyFill="1" applyBorder="1">
      <alignment/>
      <protection/>
    </xf>
    <xf numFmtId="3" fontId="44" fillId="2" borderId="78" xfId="34" applyNumberFormat="1" applyFont="1" applyFill="1" applyBorder="1">
      <alignment/>
      <protection/>
    </xf>
    <xf numFmtId="3" fontId="44" fillId="2" borderId="23" xfId="34" applyNumberFormat="1" applyFont="1" applyFill="1" applyBorder="1">
      <alignment/>
      <protection/>
    </xf>
    <xf numFmtId="3" fontId="44" fillId="2" borderId="125" xfId="34" applyNumberFormat="1" applyFont="1" applyFill="1" applyBorder="1">
      <alignment/>
      <protection/>
    </xf>
    <xf numFmtId="3" fontId="31" fillId="2" borderId="78" xfId="34" applyNumberFormat="1" applyFill="1" applyBorder="1">
      <alignment/>
      <protection/>
    </xf>
    <xf numFmtId="3" fontId="31" fillId="2" borderId="23" xfId="34" applyNumberFormat="1" applyFill="1" applyBorder="1">
      <alignment/>
      <protection/>
    </xf>
    <xf numFmtId="3" fontId="31" fillId="2" borderId="125" xfId="34" applyNumberFormat="1" applyFill="1" applyBorder="1">
      <alignment/>
      <protection/>
    </xf>
    <xf numFmtId="3" fontId="31" fillId="2" borderId="122" xfId="34" applyNumberFormat="1" applyFont="1" applyFill="1" applyBorder="1">
      <alignment/>
      <protection/>
    </xf>
    <xf numFmtId="3" fontId="31" fillId="2" borderId="121" xfId="34" applyNumberFormat="1" applyFont="1" applyFill="1" applyBorder="1">
      <alignment/>
      <protection/>
    </xf>
    <xf numFmtId="3" fontId="31" fillId="2" borderId="136" xfId="34" applyNumberFormat="1" applyFont="1" applyFill="1" applyBorder="1">
      <alignment/>
      <protection/>
    </xf>
    <xf numFmtId="3" fontId="31" fillId="2" borderId="77" xfId="34" applyNumberFormat="1" applyFont="1" applyFill="1" applyBorder="1">
      <alignment/>
      <protection/>
    </xf>
    <xf numFmtId="3" fontId="31" fillId="2" borderId="30" xfId="34" applyNumberFormat="1" applyFont="1" applyFill="1" applyBorder="1">
      <alignment/>
      <protection/>
    </xf>
    <xf numFmtId="3" fontId="31" fillId="2" borderId="137" xfId="34" applyNumberFormat="1" applyFont="1" applyFill="1" applyBorder="1">
      <alignment/>
      <protection/>
    </xf>
    <xf numFmtId="3" fontId="31" fillId="2" borderId="85" xfId="34" applyNumberFormat="1" applyFont="1" applyFill="1" applyBorder="1">
      <alignment/>
      <protection/>
    </xf>
    <xf numFmtId="49" fontId="58" fillId="2" borderId="35" xfId="34" applyNumberFormat="1" applyFont="1" applyFill="1" applyBorder="1">
      <alignment/>
      <protection/>
    </xf>
    <xf numFmtId="49" fontId="37" fillId="2" borderId="126" xfId="34" applyNumberFormat="1" applyFont="1" applyFill="1" applyBorder="1" applyAlignment="1">
      <alignment vertical="center" wrapText="1"/>
      <protection/>
    </xf>
    <xf numFmtId="0" fontId="37" fillId="2" borderId="127" xfId="34" applyFont="1" applyFill="1" applyBorder="1">
      <alignment/>
      <protection/>
    </xf>
    <xf numFmtId="0" fontId="4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166" fontId="18" fillId="0" borderId="0" xfId="27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0" xfId="20" applyFont="1" applyBorder="1" applyAlignment="1">
      <alignment horizontal="center" vertical="center"/>
      <protection/>
    </xf>
    <xf numFmtId="0" fontId="3" fillId="0" borderId="140" xfId="20" applyFont="1" applyBorder="1" applyAlignment="1">
      <alignment horizontal="center" vertical="center"/>
      <protection/>
    </xf>
    <xf numFmtId="0" fontId="3" fillId="0" borderId="84" xfId="20" applyFont="1" applyBorder="1" applyAlignment="1">
      <alignment horizontal="center" vertical="center"/>
      <protection/>
    </xf>
    <xf numFmtId="0" fontId="3" fillId="0" borderId="82" xfId="20" applyFont="1" applyBorder="1" applyAlignment="1">
      <alignment horizontal="center" vertical="center"/>
      <protection/>
    </xf>
    <xf numFmtId="0" fontId="3" fillId="0" borderId="83" xfId="20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 wrapText="1"/>
    </xf>
    <xf numFmtId="0" fontId="3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18" fillId="0" borderId="0" xfId="24" applyFont="1" applyFill="1" applyBorder="1" applyAlignment="1">
      <alignment horizontal="center" vertical="center" wrapText="1"/>
      <protection/>
    </xf>
    <xf numFmtId="0" fontId="11" fillId="0" borderId="0" xfId="23" applyFont="1" applyFill="1" applyBorder="1" applyAlignment="1">
      <alignment horizontal="center" vertical="center"/>
      <protection/>
    </xf>
    <xf numFmtId="0" fontId="18" fillId="0" borderId="146" xfId="24" applyFont="1" applyFill="1" applyBorder="1" applyAlignment="1">
      <alignment horizontal="center" vertical="center"/>
      <protection/>
    </xf>
    <xf numFmtId="0" fontId="18" fillId="0" borderId="100" xfId="24" applyFont="1" applyFill="1" applyBorder="1" applyAlignment="1">
      <alignment horizontal="center" vertical="center"/>
      <protection/>
    </xf>
    <xf numFmtId="0" fontId="18" fillId="0" borderId="97" xfId="24" applyFont="1" applyFill="1" applyBorder="1" applyAlignment="1">
      <alignment horizontal="center" vertical="center"/>
      <protection/>
    </xf>
    <xf numFmtId="0" fontId="18" fillId="0" borderId="147" xfId="24" applyFont="1" applyFill="1" applyBorder="1" applyAlignment="1">
      <alignment horizontal="center" vertical="center"/>
      <protection/>
    </xf>
    <xf numFmtId="0" fontId="18" fillId="0" borderId="96" xfId="24" applyFont="1" applyFill="1" applyBorder="1" applyAlignment="1">
      <alignment horizontal="center" vertical="center"/>
      <protection/>
    </xf>
    <xf numFmtId="0" fontId="18" fillId="0" borderId="110" xfId="24" applyFont="1" applyFill="1" applyBorder="1" applyAlignment="1">
      <alignment horizontal="center" vertical="center"/>
      <protection/>
    </xf>
    <xf numFmtId="0" fontId="18" fillId="0" borderId="98" xfId="24" applyFont="1" applyFill="1" applyBorder="1" applyAlignment="1">
      <alignment horizontal="center" vertical="center"/>
      <protection/>
    </xf>
    <xf numFmtId="0" fontId="18" fillId="0" borderId="107" xfId="24" applyFont="1" applyFill="1" applyBorder="1" applyAlignment="1">
      <alignment horizontal="center" vertical="center"/>
      <protection/>
    </xf>
    <xf numFmtId="0" fontId="18" fillId="0" borderId="99" xfId="24" applyFont="1" applyFill="1" applyBorder="1" applyAlignment="1">
      <alignment horizontal="center" vertical="center"/>
      <protection/>
    </xf>
    <xf numFmtId="0" fontId="18" fillId="0" borderId="101" xfId="24" applyFont="1" applyFill="1" applyBorder="1" applyAlignment="1">
      <alignment horizontal="center" vertical="center" wrapText="1"/>
      <protection/>
    </xf>
    <xf numFmtId="0" fontId="18" fillId="0" borderId="108" xfId="24" applyFont="1" applyFill="1" applyBorder="1" applyAlignment="1">
      <alignment horizontal="center" vertical="center" wrapText="1"/>
      <protection/>
    </xf>
    <xf numFmtId="0" fontId="17" fillId="0" borderId="148" xfId="24" applyFont="1" applyFill="1" applyBorder="1" applyAlignment="1">
      <alignment horizontal="left" vertical="center"/>
      <protection/>
    </xf>
    <xf numFmtId="0" fontId="17" fillId="0" borderId="149" xfId="24" applyFont="1" applyFill="1" applyBorder="1" applyAlignment="1">
      <alignment horizontal="left" vertical="center"/>
      <protection/>
    </xf>
    <xf numFmtId="0" fontId="17" fillId="0" borderId="150" xfId="24" applyFont="1" applyFill="1" applyBorder="1" applyAlignment="1">
      <alignment horizontal="left" vertical="center"/>
      <protection/>
    </xf>
    <xf numFmtId="49" fontId="17" fillId="0" borderId="151" xfId="24" applyNumberFormat="1" applyFont="1" applyFill="1" applyBorder="1" applyAlignment="1">
      <alignment horizontal="center" vertical="center"/>
      <protection/>
    </xf>
    <xf numFmtId="49" fontId="17" fillId="0" borderId="41" xfId="24" applyNumberFormat="1" applyFont="1" applyFill="1" applyBorder="1" applyAlignment="1">
      <alignment horizontal="center" vertical="center"/>
      <protection/>
    </xf>
    <xf numFmtId="49" fontId="17" fillId="0" borderId="71" xfId="24" applyNumberFormat="1" applyFont="1" applyFill="1" applyBorder="1" applyAlignment="1">
      <alignment horizontal="center" vertical="center"/>
      <protection/>
    </xf>
    <xf numFmtId="0" fontId="17" fillId="0" borderId="152" xfId="24" applyFont="1" applyFill="1" applyBorder="1" applyAlignment="1">
      <alignment horizontal="left" vertical="center"/>
      <protection/>
    </xf>
    <xf numFmtId="0" fontId="17" fillId="0" borderId="153" xfId="24" applyFont="1" applyFill="1" applyBorder="1" applyAlignment="1">
      <alignment horizontal="left" vertical="center"/>
      <protection/>
    </xf>
    <xf numFmtId="49" fontId="17" fillId="0" borderId="35" xfId="24" applyNumberFormat="1" applyFont="1" applyFill="1" applyBorder="1" applyAlignment="1">
      <alignment horizontal="center" vertical="center"/>
      <protection/>
    </xf>
    <xf numFmtId="49" fontId="17" fillId="0" borderId="30" xfId="24" applyNumberFormat="1" applyFont="1" applyFill="1" applyBorder="1" applyAlignment="1">
      <alignment horizontal="center" vertical="center"/>
      <protection/>
    </xf>
    <xf numFmtId="0" fontId="17" fillId="0" borderId="154" xfId="24" applyFont="1" applyFill="1" applyBorder="1" applyAlignment="1">
      <alignment horizontal="left" vertical="center"/>
      <protection/>
    </xf>
    <xf numFmtId="49" fontId="17" fillId="0" borderId="155" xfId="24" applyNumberFormat="1" applyFont="1" applyFill="1" applyBorder="1" applyAlignment="1">
      <alignment horizontal="center" vertical="center"/>
      <protection/>
    </xf>
    <xf numFmtId="0" fontId="17" fillId="0" borderId="156" xfId="24" applyFont="1" applyFill="1" applyBorder="1" applyAlignment="1">
      <alignment horizontal="left" vertical="center"/>
      <protection/>
    </xf>
    <xf numFmtId="0" fontId="0" fillId="0" borderId="157" xfId="0" applyBorder="1" applyAlignment="1">
      <alignment vertical="center"/>
    </xf>
    <xf numFmtId="0" fontId="0" fillId="0" borderId="58" xfId="0" applyBorder="1" applyAlignment="1">
      <alignment vertical="center"/>
    </xf>
    <xf numFmtId="49" fontId="17" fillId="0" borderId="35" xfId="24" applyNumberFormat="1" applyFont="1" applyFill="1" applyBorder="1" applyAlignment="1">
      <alignment horizontal="center" vertical="center"/>
      <protection/>
    </xf>
    <xf numFmtId="0" fontId="0" fillId="0" borderId="41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35" xfId="24" applyFont="1" applyFill="1" applyBorder="1" applyAlignment="1">
      <alignment horizontal="left" vertical="center" wrapText="1"/>
      <protection/>
    </xf>
    <xf numFmtId="0" fontId="17" fillId="0" borderId="41" xfId="24" applyFont="1" applyFill="1" applyBorder="1" applyAlignment="1">
      <alignment horizontal="left" vertical="center" wrapText="1"/>
      <protection/>
    </xf>
    <xf numFmtId="0" fontId="17" fillId="0" borderId="30" xfId="24" applyFont="1" applyFill="1" applyBorder="1" applyAlignment="1">
      <alignment horizontal="left" vertical="center" wrapText="1"/>
      <protection/>
    </xf>
    <xf numFmtId="0" fontId="17" fillId="0" borderId="151" xfId="24" applyFont="1" applyFill="1" applyBorder="1" applyAlignment="1">
      <alignment horizontal="left" vertical="center" wrapText="1"/>
      <protection/>
    </xf>
    <xf numFmtId="0" fontId="17" fillId="0" borderId="71" xfId="24" applyFont="1" applyFill="1" applyBorder="1" applyAlignment="1">
      <alignment horizontal="left" vertical="center" wrapText="1"/>
      <protection/>
    </xf>
    <xf numFmtId="0" fontId="17" fillId="0" borderId="155" xfId="24" applyFont="1" applyFill="1" applyBorder="1" applyAlignment="1">
      <alignment horizontal="left" vertical="center" wrapText="1"/>
      <protection/>
    </xf>
    <xf numFmtId="0" fontId="17" fillId="0" borderId="94" xfId="2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60" xfId="0" applyBorder="1" applyAlignment="1">
      <alignment vertical="center"/>
    </xf>
    <xf numFmtId="0" fontId="17" fillId="0" borderId="148" xfId="24" applyFont="1" applyFill="1" applyBorder="1" applyAlignment="1">
      <alignment horizontal="center" vertical="center"/>
      <protection/>
    </xf>
    <xf numFmtId="0" fontId="17" fillId="0" borderId="149" xfId="24" applyFont="1" applyFill="1" applyBorder="1" applyAlignment="1">
      <alignment horizontal="center" vertical="center"/>
      <protection/>
    </xf>
    <xf numFmtId="0" fontId="17" fillId="0" borderId="158" xfId="24" applyFont="1" applyFill="1" applyBorder="1" applyAlignment="1">
      <alignment horizontal="center" vertical="center"/>
      <protection/>
    </xf>
    <xf numFmtId="0" fontId="18" fillId="0" borderId="151" xfId="24" applyFont="1" applyFill="1" applyBorder="1" applyAlignment="1">
      <alignment horizontal="center" vertical="center"/>
      <protection/>
    </xf>
    <xf numFmtId="0" fontId="18" fillId="0" borderId="41" xfId="24" applyFont="1" applyFill="1" applyBorder="1" applyAlignment="1">
      <alignment horizontal="center" vertical="center"/>
      <protection/>
    </xf>
    <xf numFmtId="0" fontId="18" fillId="0" borderId="159" xfId="24" applyFont="1" applyFill="1" applyBorder="1" applyAlignment="1">
      <alignment horizontal="center" vertical="center"/>
      <protection/>
    </xf>
    <xf numFmtId="0" fontId="17" fillId="0" borderId="154" xfId="24" applyFont="1" applyFill="1" applyBorder="1" applyAlignment="1">
      <alignment horizontal="center" vertical="center"/>
      <protection/>
    </xf>
    <xf numFmtId="0" fontId="17" fillId="0" borderId="150" xfId="24" applyFont="1" applyFill="1" applyBorder="1" applyAlignment="1">
      <alignment horizontal="center" vertical="center"/>
      <protection/>
    </xf>
    <xf numFmtId="0" fontId="18" fillId="0" borderId="71" xfId="24" applyFont="1" applyFill="1" applyBorder="1" applyAlignment="1">
      <alignment horizontal="center" vertical="center"/>
      <protection/>
    </xf>
    <xf numFmtId="0" fontId="18" fillId="0" borderId="155" xfId="24" applyFont="1" applyFill="1" applyBorder="1" applyAlignment="1">
      <alignment horizontal="left" vertical="center" wrapText="1"/>
      <protection/>
    </xf>
    <xf numFmtId="0" fontId="18" fillId="0" borderId="41" xfId="24" applyFont="1" applyFill="1" applyBorder="1" applyAlignment="1">
      <alignment horizontal="left" vertical="center" wrapText="1"/>
      <protection/>
    </xf>
    <xf numFmtId="0" fontId="18" fillId="0" borderId="159" xfId="24" applyFont="1" applyFill="1" applyBorder="1" applyAlignment="1">
      <alignment horizontal="left" vertical="center" wrapText="1"/>
      <protection/>
    </xf>
    <xf numFmtId="0" fontId="18" fillId="0" borderId="71" xfId="24" applyFont="1" applyFill="1" applyBorder="1" applyAlignment="1">
      <alignment horizontal="left" vertical="center" wrapText="1"/>
      <protection/>
    </xf>
    <xf numFmtId="0" fontId="18" fillId="0" borderId="151" xfId="24" applyFont="1" applyFill="1" applyBorder="1" applyAlignment="1">
      <alignment horizontal="left" vertical="center" wrapText="1"/>
      <protection/>
    </xf>
    <xf numFmtId="0" fontId="18" fillId="0" borderId="155" xfId="24" applyFont="1" applyFill="1" applyBorder="1" applyAlignment="1">
      <alignment horizontal="center" vertical="center"/>
      <protection/>
    </xf>
    <xf numFmtId="0" fontId="21" fillId="0" borderId="0" xfId="25" applyFont="1" applyFill="1" applyBorder="1" applyAlignment="1">
      <alignment horizontal="center" vertical="center" wrapText="1"/>
      <protection/>
    </xf>
    <xf numFmtId="0" fontId="21" fillId="0" borderId="153" xfId="25" applyFont="1" applyFill="1" applyBorder="1" applyAlignment="1">
      <alignment horizontal="left" vertical="center"/>
      <protection/>
    </xf>
    <xf numFmtId="0" fontId="21" fillId="0" borderId="30" xfId="25" applyFont="1" applyFill="1" applyBorder="1" applyAlignment="1">
      <alignment horizontal="left" vertical="center"/>
      <protection/>
    </xf>
    <xf numFmtId="0" fontId="21" fillId="0" borderId="160" xfId="25" applyFont="1" applyFill="1" applyBorder="1" applyAlignment="1">
      <alignment horizontal="left" vertical="center"/>
      <protection/>
    </xf>
    <xf numFmtId="0" fontId="21" fillId="0" borderId="23" xfId="25" applyFont="1" applyFill="1" applyBorder="1" applyAlignment="1">
      <alignment horizontal="left" vertical="center"/>
      <protection/>
    </xf>
    <xf numFmtId="0" fontId="21" fillId="0" borderId="149" xfId="25" applyFont="1" applyFill="1" applyBorder="1" applyAlignment="1">
      <alignment horizontal="left" vertical="center"/>
      <protection/>
    </xf>
    <xf numFmtId="0" fontId="21" fillId="0" borderId="41" xfId="25" applyFont="1" applyFill="1" applyBorder="1" applyAlignment="1">
      <alignment horizontal="left" vertical="center"/>
      <protection/>
    </xf>
    <xf numFmtId="0" fontId="21" fillId="0" borderId="146" xfId="25" applyFont="1" applyFill="1" applyBorder="1" applyAlignment="1">
      <alignment horizontal="center" vertical="center"/>
      <protection/>
    </xf>
    <xf numFmtId="0" fontId="21" fillId="0" borderId="100" xfId="25" applyFont="1" applyFill="1" applyBorder="1" applyAlignment="1">
      <alignment horizontal="center" vertical="center"/>
      <protection/>
    </xf>
    <xf numFmtId="0" fontId="21" fillId="0" borderId="97" xfId="25" applyFont="1" applyFill="1" applyBorder="1" applyAlignment="1">
      <alignment horizontal="center" vertical="center"/>
      <protection/>
    </xf>
    <xf numFmtId="0" fontId="21" fillId="0" borderId="147" xfId="25" applyFont="1" applyFill="1" applyBorder="1" applyAlignment="1">
      <alignment horizontal="center" vertical="center"/>
      <protection/>
    </xf>
    <xf numFmtId="0" fontId="21" fillId="0" borderId="96" xfId="25" applyFont="1" applyFill="1" applyBorder="1" applyAlignment="1">
      <alignment horizontal="center" vertical="center"/>
      <protection/>
    </xf>
    <xf numFmtId="0" fontId="21" fillId="0" borderId="110" xfId="25" applyFont="1" applyFill="1" applyBorder="1" applyAlignment="1">
      <alignment horizontal="center" vertical="center"/>
      <protection/>
    </xf>
    <xf numFmtId="3" fontId="21" fillId="0" borderId="98" xfId="25" applyNumberFormat="1" applyFont="1" applyFill="1" applyBorder="1" applyAlignment="1">
      <alignment horizontal="center" vertical="center"/>
      <protection/>
    </xf>
    <xf numFmtId="3" fontId="21" fillId="0" borderId="107" xfId="25" applyNumberFormat="1" applyFont="1" applyFill="1" applyBorder="1" applyAlignment="1">
      <alignment horizontal="center" vertical="center"/>
      <protection/>
    </xf>
    <xf numFmtId="0" fontId="21" fillId="0" borderId="98" xfId="25" applyFont="1" applyFill="1" applyBorder="1" applyAlignment="1">
      <alignment horizontal="center" vertical="center"/>
      <protection/>
    </xf>
    <xf numFmtId="0" fontId="21" fillId="0" borderId="107" xfId="25" applyFont="1" applyFill="1" applyBorder="1" applyAlignment="1">
      <alignment horizontal="center" vertical="center"/>
      <protection/>
    </xf>
    <xf numFmtId="0" fontId="21" fillId="0" borderId="99" xfId="25" applyFont="1" applyFill="1" applyBorder="1" applyAlignment="1">
      <alignment horizontal="center" vertical="center"/>
      <protection/>
    </xf>
    <xf numFmtId="0" fontId="21" fillId="0" borderId="101" xfId="25" applyFont="1" applyFill="1" applyBorder="1" applyAlignment="1">
      <alignment horizontal="center" vertical="center"/>
      <protection/>
    </xf>
    <xf numFmtId="0" fontId="20" fillId="0" borderId="148" xfId="25" applyFont="1" applyBorder="1" applyAlignment="1">
      <alignment horizontal="left" vertical="center"/>
      <protection/>
    </xf>
    <xf numFmtId="0" fontId="20" fillId="0" borderId="149" xfId="25" applyFont="1" applyBorder="1" applyAlignment="1">
      <alignment horizontal="left" vertical="center"/>
      <protection/>
    </xf>
    <xf numFmtId="0" fontId="20" fillId="0" borderId="150" xfId="25" applyFont="1" applyBorder="1" applyAlignment="1">
      <alignment horizontal="left" vertical="center"/>
      <protection/>
    </xf>
    <xf numFmtId="49" fontId="20" fillId="0" borderId="151" xfId="25" applyNumberFormat="1" applyFont="1" applyBorder="1" applyAlignment="1">
      <alignment horizontal="center" vertical="center"/>
      <protection/>
    </xf>
    <xf numFmtId="49" fontId="20" fillId="0" borderId="41" xfId="25" applyNumberFormat="1" applyFont="1" applyBorder="1" applyAlignment="1">
      <alignment horizontal="center" vertical="center"/>
      <protection/>
    </xf>
    <xf numFmtId="49" fontId="20" fillId="0" borderId="71" xfId="25" applyNumberFormat="1" applyFont="1" applyBorder="1" applyAlignment="1">
      <alignment horizontal="center" vertical="center"/>
      <protection/>
    </xf>
    <xf numFmtId="0" fontId="20" fillId="0" borderId="151" xfId="25" applyFont="1" applyBorder="1" applyAlignment="1">
      <alignment horizontal="left" vertical="center"/>
      <protection/>
    </xf>
    <xf numFmtId="0" fontId="20" fillId="0" borderId="41" xfId="25" applyFont="1" applyBorder="1" applyAlignment="1">
      <alignment horizontal="left" vertical="center"/>
      <protection/>
    </xf>
    <xf numFmtId="0" fontId="20" fillId="0" borderId="71" xfId="25" applyFont="1" applyBorder="1" applyAlignment="1">
      <alignment horizontal="left" vertical="center"/>
      <protection/>
    </xf>
    <xf numFmtId="0" fontId="20" fillId="0" borderId="153" xfId="25" applyFont="1" applyBorder="1" applyAlignment="1">
      <alignment horizontal="left" vertical="center"/>
      <protection/>
    </xf>
    <xf numFmtId="49" fontId="20" fillId="0" borderId="30" xfId="25" applyNumberFormat="1" applyFont="1" applyBorder="1" applyAlignment="1">
      <alignment horizontal="center" vertical="center"/>
      <protection/>
    </xf>
    <xf numFmtId="0" fontId="20" fillId="0" borderId="30" xfId="25" applyFont="1" applyBorder="1" applyAlignment="1">
      <alignment horizontal="left" vertical="center"/>
      <protection/>
    </xf>
    <xf numFmtId="0" fontId="20" fillId="0" borderId="152" xfId="25" applyFont="1" applyBorder="1" applyAlignment="1">
      <alignment horizontal="left" vertical="center"/>
      <protection/>
    </xf>
    <xf numFmtId="49" fontId="20" fillId="0" borderId="35" xfId="25" applyNumberFormat="1" applyFont="1" applyBorder="1" applyAlignment="1">
      <alignment horizontal="center" vertical="center"/>
      <protection/>
    </xf>
    <xf numFmtId="0" fontId="20" fillId="0" borderId="35" xfId="25" applyFont="1" applyBorder="1" applyAlignment="1">
      <alignment horizontal="left" vertical="center"/>
      <protection/>
    </xf>
    <xf numFmtId="0" fontId="21" fillId="0" borderId="151" xfId="25" applyFont="1" applyFill="1" applyBorder="1" applyAlignment="1">
      <alignment horizontal="left" vertical="center"/>
      <protection/>
    </xf>
    <xf numFmtId="0" fontId="21" fillId="0" borderId="71" xfId="25" applyFont="1" applyFill="1" applyBorder="1" applyAlignment="1">
      <alignment horizontal="left" vertical="center"/>
      <protection/>
    </xf>
    <xf numFmtId="0" fontId="21" fillId="0" borderId="151" xfId="25" applyFont="1" applyFill="1" applyBorder="1" applyAlignment="1">
      <alignment horizontal="center" vertical="center"/>
      <protection/>
    </xf>
    <xf numFmtId="0" fontId="21" fillId="0" borderId="41" xfId="25" applyFont="1" applyFill="1" applyBorder="1" applyAlignment="1">
      <alignment horizontal="center" vertical="center"/>
      <protection/>
    </xf>
    <xf numFmtId="0" fontId="21" fillId="0" borderId="71" xfId="25" applyFont="1" applyFill="1" applyBorder="1" applyAlignment="1">
      <alignment horizontal="center" vertical="center"/>
      <protection/>
    </xf>
    <xf numFmtId="0" fontId="21" fillId="0" borderId="148" xfId="25" applyFont="1" applyFill="1" applyBorder="1" applyAlignment="1">
      <alignment horizontal="center" vertical="center"/>
      <protection/>
    </xf>
    <xf numFmtId="0" fontId="21" fillId="0" borderId="149" xfId="25" applyFont="1" applyFill="1" applyBorder="1" applyAlignment="1">
      <alignment horizontal="center" vertical="center"/>
      <protection/>
    </xf>
    <xf numFmtId="0" fontId="21" fillId="0" borderId="150" xfId="25" applyFont="1" applyFill="1" applyBorder="1" applyAlignment="1">
      <alignment horizontal="center" vertical="center"/>
      <protection/>
    </xf>
    <xf numFmtId="0" fontId="21" fillId="0" borderId="154" xfId="25" applyFont="1" applyFill="1" applyBorder="1" applyAlignment="1">
      <alignment horizontal="center" vertical="center"/>
      <protection/>
    </xf>
    <xf numFmtId="0" fontId="21" fillId="0" borderId="158" xfId="25" applyFont="1" applyFill="1" applyBorder="1" applyAlignment="1">
      <alignment horizontal="center" vertical="center"/>
      <protection/>
    </xf>
    <xf numFmtId="0" fontId="21" fillId="0" borderId="155" xfId="25" applyFont="1" applyFill="1" applyBorder="1" applyAlignment="1">
      <alignment horizontal="center" vertical="center"/>
      <protection/>
    </xf>
    <xf numFmtId="0" fontId="21" fillId="0" borderId="159" xfId="25" applyFont="1" applyFill="1" applyBorder="1" applyAlignment="1">
      <alignment horizontal="center" vertical="center"/>
      <protection/>
    </xf>
    <xf numFmtId="0" fontId="21" fillId="0" borderId="155" xfId="25" applyFont="1" applyFill="1" applyBorder="1" applyAlignment="1">
      <alignment horizontal="left" vertical="center"/>
      <protection/>
    </xf>
    <xf numFmtId="0" fontId="21" fillId="0" borderId="159" xfId="25" applyFont="1" applyFill="1" applyBorder="1" applyAlignment="1">
      <alignment horizontal="left" vertical="center"/>
      <protection/>
    </xf>
    <xf numFmtId="165" fontId="18" fillId="0" borderId="29" xfId="27" applyFont="1" applyFill="1" applyBorder="1" applyAlignment="1">
      <alignment horizontal="center" vertical="center" wrapText="1"/>
      <protection/>
    </xf>
    <xf numFmtId="165" fontId="18" fillId="0" borderId="24" xfId="27" applyFont="1" applyFill="1" applyBorder="1" applyAlignment="1">
      <alignment horizontal="center" vertical="center" wrapText="1"/>
      <protection/>
    </xf>
    <xf numFmtId="165" fontId="18" fillId="0" borderId="26" xfId="27" applyFont="1" applyFill="1" applyBorder="1" applyAlignment="1">
      <alignment horizontal="center" vertical="center" wrapText="1"/>
      <protection/>
    </xf>
    <xf numFmtId="165" fontId="18" fillId="0" borderId="30" xfId="27" applyFont="1" applyFill="1" applyBorder="1" applyAlignment="1">
      <alignment horizontal="center" vertical="center" wrapText="1"/>
      <protection/>
    </xf>
    <xf numFmtId="165" fontId="18" fillId="0" borderId="23" xfId="27" applyFont="1" applyFill="1" applyBorder="1" applyAlignment="1">
      <alignment horizontal="center" vertical="center" wrapText="1"/>
      <protection/>
    </xf>
    <xf numFmtId="165" fontId="18" fillId="0" borderId="27" xfId="27" applyFont="1" applyFill="1" applyBorder="1" applyAlignment="1">
      <alignment horizontal="center" vertical="center" wrapText="1"/>
      <protection/>
    </xf>
    <xf numFmtId="165" fontId="18" fillId="0" borderId="82" xfId="27" applyFont="1" applyFill="1" applyBorder="1" applyAlignment="1">
      <alignment horizontal="center" vertical="center" wrapText="1"/>
      <protection/>
    </xf>
    <xf numFmtId="165" fontId="18" fillId="0" borderId="66" xfId="27" applyFont="1" applyFill="1" applyBorder="1" applyAlignment="1">
      <alignment horizontal="center" vertical="center" wrapText="1"/>
      <protection/>
    </xf>
    <xf numFmtId="165" fontId="18" fillId="0" borderId="35" xfId="27" applyFont="1" applyFill="1" applyBorder="1" applyAlignment="1">
      <alignment horizontal="center" vertical="center" wrapText="1"/>
      <protection/>
    </xf>
    <xf numFmtId="165" fontId="18" fillId="0" borderId="41" xfId="27" applyFont="1" applyFill="1" applyBorder="1" applyAlignment="1">
      <alignment horizontal="center" vertical="center" wrapText="1"/>
      <protection/>
    </xf>
    <xf numFmtId="165" fontId="18" fillId="0" borderId="140" xfId="27" applyFont="1" applyFill="1" applyBorder="1" applyAlignment="1">
      <alignment horizontal="center" vertical="center" wrapText="1"/>
      <protection/>
    </xf>
    <xf numFmtId="165" fontId="18" fillId="0" borderId="84" xfId="27" applyFont="1" applyFill="1" applyBorder="1" applyAlignment="1">
      <alignment horizontal="center" vertical="center" wrapText="1"/>
      <protection/>
    </xf>
    <xf numFmtId="165" fontId="17" fillId="0" borderId="24" xfId="27" applyFont="1" applyFill="1" applyBorder="1" applyAlignment="1">
      <alignment horizontal="center" vertical="center" wrapText="1"/>
      <protection/>
    </xf>
    <xf numFmtId="165" fontId="17" fillId="0" borderId="23" xfId="27" applyFont="1" applyFill="1" applyBorder="1" applyAlignment="1">
      <alignment horizontal="center" vertical="center" wrapText="1"/>
      <protection/>
    </xf>
    <xf numFmtId="165" fontId="17" fillId="0" borderId="34" xfId="27" applyFont="1" applyFill="1" applyBorder="1" applyAlignment="1">
      <alignment horizontal="center" vertical="center" wrapText="1"/>
      <protection/>
    </xf>
    <xf numFmtId="165" fontId="17" fillId="0" borderId="35" xfId="27" applyFont="1" applyFill="1" applyBorder="1" applyAlignment="1">
      <alignment horizontal="center" vertical="center" wrapText="1"/>
      <protection/>
    </xf>
    <xf numFmtId="165" fontId="17" fillId="0" borderId="29" xfId="27" applyFont="1" applyFill="1" applyBorder="1" applyAlignment="1">
      <alignment horizontal="center" vertical="center" wrapText="1"/>
      <protection/>
    </xf>
    <xf numFmtId="165" fontId="17" fillId="0" borderId="30" xfId="27" applyFont="1" applyFill="1" applyBorder="1" applyAlignment="1">
      <alignment horizontal="center" vertical="center" wrapText="1"/>
      <protection/>
    </xf>
    <xf numFmtId="165" fontId="18" fillId="0" borderId="75" xfId="27" applyFont="1" applyFill="1" applyBorder="1" applyAlignment="1">
      <alignment horizontal="center" vertical="center" wrapText="1"/>
      <protection/>
    </xf>
    <xf numFmtId="165" fontId="18" fillId="0" borderId="79" xfId="27" applyFont="1" applyFill="1" applyBorder="1" applyAlignment="1">
      <alignment horizontal="center" vertical="center" wrapText="1"/>
      <protection/>
    </xf>
    <xf numFmtId="165" fontId="18" fillId="0" borderId="76" xfId="27" applyFont="1" applyFill="1" applyBorder="1" applyAlignment="1">
      <alignment horizontal="center" vertical="center" wrapText="1"/>
      <protection/>
    </xf>
    <xf numFmtId="165" fontId="18" fillId="0" borderId="74" xfId="27" applyFont="1" applyFill="1" applyBorder="1" applyAlignment="1">
      <alignment horizontal="center" vertical="center" wrapText="1"/>
      <protection/>
    </xf>
    <xf numFmtId="165" fontId="17" fillId="0" borderId="0" xfId="27" applyFont="1" applyFill="1" applyBorder="1" applyAlignment="1">
      <alignment horizontal="center" vertical="center"/>
      <protection/>
    </xf>
    <xf numFmtId="165" fontId="18" fillId="0" borderId="83" xfId="27" applyFont="1" applyFill="1" applyBorder="1" applyAlignment="1">
      <alignment horizontal="center" vertical="center" wrapText="1"/>
      <protection/>
    </xf>
    <xf numFmtId="165" fontId="18" fillId="0" borderId="28" xfId="27" applyFont="1" applyFill="1" applyBorder="1" applyAlignment="1">
      <alignment horizontal="center" vertical="center" wrapText="1"/>
      <protection/>
    </xf>
    <xf numFmtId="165" fontId="18" fillId="0" borderId="83" xfId="27" applyFont="1" applyFill="1" applyBorder="1" applyAlignment="1">
      <alignment horizontal="center" vertical="center"/>
      <protection/>
    </xf>
    <xf numFmtId="165" fontId="18" fillId="0" borderId="84" xfId="27" applyFont="1" applyFill="1" applyBorder="1" applyAlignment="1">
      <alignment horizontal="center" vertical="center"/>
      <protection/>
    </xf>
    <xf numFmtId="165" fontId="18" fillId="0" borderId="75" xfId="27" applyFont="1" applyFill="1" applyBorder="1" applyAlignment="1">
      <alignment horizontal="center" vertical="center"/>
      <protection/>
    </xf>
    <xf numFmtId="0" fontId="11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3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0" xfId="32" applyFont="1" applyBorder="1" applyAlignment="1">
      <alignment horizontal="center" vertical="center"/>
      <protection/>
    </xf>
    <xf numFmtId="0" fontId="11" fillId="0" borderId="83" xfId="32" applyFont="1" applyBorder="1" applyAlignment="1">
      <alignment horizontal="center" vertical="center" wrapText="1"/>
      <protection/>
    </xf>
    <xf numFmtId="0" fontId="11" fillId="0" borderId="84" xfId="32" applyFont="1" applyBorder="1" applyAlignment="1">
      <alignment horizontal="center" vertical="center" wrapText="1"/>
      <protection/>
    </xf>
    <xf numFmtId="0" fontId="11" fillId="0" borderId="75" xfId="32" applyFont="1" applyBorder="1" applyAlignment="1">
      <alignment horizontal="center" vertical="center" wrapText="1"/>
      <protection/>
    </xf>
    <xf numFmtId="0" fontId="11" fillId="0" borderId="140" xfId="32" applyFont="1" applyBorder="1" applyAlignment="1">
      <alignment horizontal="center" vertical="center" wrapText="1"/>
      <protection/>
    </xf>
    <xf numFmtId="0" fontId="11" fillId="0" borderId="82" xfId="32" applyFont="1" applyBorder="1" applyAlignment="1">
      <alignment horizontal="center" vertical="center" wrapText="1"/>
      <protection/>
    </xf>
    <xf numFmtId="0" fontId="9" fillId="0" borderId="24" xfId="32" applyFont="1" applyBorder="1" applyAlignment="1">
      <alignment horizontal="left"/>
      <protection/>
    </xf>
    <xf numFmtId="0" fontId="9" fillId="0" borderId="25" xfId="32" applyFont="1" applyBorder="1" applyAlignment="1">
      <alignment horizontal="left"/>
      <protection/>
    </xf>
    <xf numFmtId="0" fontId="11" fillId="0" borderId="26" xfId="32" applyFont="1" applyBorder="1" applyAlignment="1">
      <alignment horizontal="center" vertical="center" wrapText="1"/>
      <protection/>
    </xf>
    <xf numFmtId="0" fontId="11" fillId="0" borderId="66" xfId="32" applyFont="1" applyBorder="1" applyAlignment="1">
      <alignment horizontal="center" vertical="center" wrapText="1"/>
      <protection/>
    </xf>
    <xf numFmtId="0" fontId="9" fillId="0" borderId="29" xfId="32" applyFont="1" applyBorder="1" applyAlignment="1">
      <alignment horizontal="left"/>
      <protection/>
    </xf>
    <xf numFmtId="0" fontId="9" fillId="0" borderId="31" xfId="32" applyFont="1" applyBorder="1" applyAlignment="1">
      <alignment horizontal="left"/>
      <protection/>
    </xf>
    <xf numFmtId="0" fontId="29" fillId="0" borderId="0" xfId="0" applyFont="1" applyBorder="1" applyAlignment="1">
      <alignment horizontal="center" vertical="center"/>
    </xf>
    <xf numFmtId="0" fontId="11" fillId="0" borderId="0" xfId="33" applyFont="1" applyBorder="1" applyAlignment="1">
      <alignment horizontal="center"/>
      <protection/>
    </xf>
    <xf numFmtId="0" fontId="11" fillId="0" borderId="161" xfId="33" applyFont="1" applyBorder="1" applyAlignment="1">
      <alignment horizontal="center" vertical="center"/>
      <protection/>
    </xf>
    <xf numFmtId="0" fontId="11" fillId="0" borderId="116" xfId="33" applyFont="1" applyBorder="1" applyAlignment="1">
      <alignment horizontal="center" vertical="center"/>
      <protection/>
    </xf>
    <xf numFmtId="0" fontId="11" fillId="0" borderId="162" xfId="33" applyFont="1" applyBorder="1" applyAlignment="1">
      <alignment horizontal="center" vertical="center"/>
      <protection/>
    </xf>
    <xf numFmtId="0" fontId="11" fillId="0" borderId="163" xfId="33" applyFont="1" applyBorder="1" applyAlignment="1">
      <alignment horizontal="center" vertical="center"/>
      <protection/>
    </xf>
    <xf numFmtId="0" fontId="11" fillId="0" borderId="164" xfId="33" applyFont="1" applyBorder="1" applyAlignment="1">
      <alignment horizontal="center" vertical="center"/>
      <protection/>
    </xf>
    <xf numFmtId="3" fontId="11" fillId="0" borderId="165" xfId="33" applyNumberFormat="1" applyFont="1" applyBorder="1" applyAlignment="1">
      <alignment horizontal="center" vertical="center" wrapText="1"/>
      <protection/>
    </xf>
    <xf numFmtId="3" fontId="11" fillId="0" borderId="166" xfId="33" applyNumberFormat="1" applyFont="1" applyBorder="1" applyAlignment="1">
      <alignment horizontal="center" vertical="center" wrapText="1"/>
      <protection/>
    </xf>
    <xf numFmtId="3" fontId="11" fillId="0" borderId="167" xfId="33" applyNumberFormat="1" applyFont="1" applyBorder="1" applyAlignment="1">
      <alignment horizontal="center" vertical="center" wrapText="1"/>
      <protection/>
    </xf>
    <xf numFmtId="3" fontId="11" fillId="0" borderId="168" xfId="33" applyNumberFormat="1" applyFont="1" applyBorder="1" applyAlignment="1">
      <alignment horizontal="center" vertical="center" wrapText="1"/>
      <protection/>
    </xf>
    <xf numFmtId="3" fontId="11" fillId="0" borderId="5" xfId="33" applyNumberFormat="1" applyFont="1" applyBorder="1" applyAlignment="1">
      <alignment horizontal="center" vertical="center" wrapText="1"/>
      <protection/>
    </xf>
    <xf numFmtId="3" fontId="11" fillId="0" borderId="117" xfId="33" applyNumberFormat="1" applyFont="1" applyBorder="1" applyAlignment="1">
      <alignment horizontal="center" vertical="center" wrapText="1"/>
      <protection/>
    </xf>
    <xf numFmtId="3" fontId="11" fillId="0" borderId="169" xfId="33" applyNumberFormat="1" applyFont="1" applyBorder="1" applyAlignment="1">
      <alignment horizontal="center" vertical="center" wrapText="1"/>
      <protection/>
    </xf>
    <xf numFmtId="3" fontId="11" fillId="0" borderId="5" xfId="33" applyNumberFormat="1" applyFont="1" applyBorder="1" applyAlignment="1">
      <alignment horizontal="center" vertical="center"/>
      <protection/>
    </xf>
    <xf numFmtId="3" fontId="11" fillId="0" borderId="117" xfId="33" applyNumberFormat="1" applyFont="1" applyBorder="1" applyAlignment="1">
      <alignment horizontal="center" vertical="center"/>
      <protection/>
    </xf>
    <xf numFmtId="3" fontId="11" fillId="0" borderId="169" xfId="33" applyNumberFormat="1" applyFont="1" applyBorder="1" applyAlignment="1">
      <alignment horizontal="center" vertical="center"/>
      <protection/>
    </xf>
    <xf numFmtId="3" fontId="11" fillId="0" borderId="170" xfId="33" applyNumberFormat="1" applyFont="1" applyBorder="1" applyAlignment="1">
      <alignment horizontal="center" vertical="center" wrapText="1"/>
      <protection/>
    </xf>
    <xf numFmtId="3" fontId="11" fillId="0" borderId="171" xfId="33" applyNumberFormat="1" applyFont="1" applyBorder="1" applyAlignment="1">
      <alignment horizontal="center" vertical="center" wrapText="1"/>
      <protection/>
    </xf>
    <xf numFmtId="3" fontId="11" fillId="0" borderId="161" xfId="33" applyNumberFormat="1" applyFont="1" applyBorder="1" applyAlignment="1">
      <alignment horizontal="center" vertical="center" wrapText="1"/>
      <protection/>
    </xf>
    <xf numFmtId="3" fontId="11" fillId="0" borderId="116" xfId="33" applyNumberFormat="1" applyFont="1" applyBorder="1" applyAlignment="1">
      <alignment horizontal="center" vertical="center" wrapText="1"/>
      <protection/>
    </xf>
    <xf numFmtId="3" fontId="11" fillId="0" borderId="162" xfId="33" applyNumberFormat="1" applyFont="1" applyBorder="1" applyAlignment="1">
      <alignment horizontal="center" vertical="center" wrapText="1"/>
      <protection/>
    </xf>
    <xf numFmtId="0" fontId="11" fillId="0" borderId="116" xfId="33" applyFont="1" applyBorder="1" applyAlignment="1">
      <alignment horizontal="center" vertical="center"/>
      <protection/>
    </xf>
    <xf numFmtId="0" fontId="11" fillId="0" borderId="94" xfId="33" applyFont="1" applyBorder="1" applyAlignment="1">
      <alignment horizontal="center" vertical="center"/>
      <protection/>
    </xf>
    <xf numFmtId="0" fontId="11" fillId="0" borderId="117" xfId="33" applyFont="1" applyBorder="1" applyAlignment="1">
      <alignment horizontal="center" vertical="center"/>
      <protection/>
    </xf>
    <xf numFmtId="0" fontId="11" fillId="0" borderId="172" xfId="33" applyFont="1" applyBorder="1" applyAlignment="1">
      <alignment horizontal="center" vertical="center"/>
      <protection/>
    </xf>
    <xf numFmtId="0" fontId="42" fillId="0" borderId="173" xfId="34" applyFont="1" applyBorder="1" applyAlignment="1">
      <alignment horizontal="center" vertical="center" wrapText="1"/>
      <protection/>
    </xf>
    <xf numFmtId="0" fontId="42" fillId="0" borderId="174" xfId="34" applyFont="1" applyBorder="1" applyAlignment="1">
      <alignment horizontal="center" vertical="center" wrapText="1"/>
      <protection/>
    </xf>
    <xf numFmtId="0" fontId="31" fillId="0" borderId="78" xfId="34" applyFont="1" applyBorder="1" applyAlignment="1">
      <alignment horizontal="center"/>
      <protection/>
    </xf>
    <xf numFmtId="0" fontId="31" fillId="0" borderId="91" xfId="34" applyFont="1" applyBorder="1" applyAlignment="1">
      <alignment horizontal="center"/>
      <protection/>
    </xf>
    <xf numFmtId="0" fontId="31" fillId="0" borderId="33" xfId="34" applyFont="1" applyBorder="1" applyAlignment="1">
      <alignment horizontal="center"/>
      <protection/>
    </xf>
    <xf numFmtId="0" fontId="37" fillId="0" borderId="0" xfId="34" applyFont="1" applyAlignment="1">
      <alignment horizontal="center"/>
      <protection/>
    </xf>
    <xf numFmtId="0" fontId="39" fillId="0" borderId="175" xfId="34" applyFont="1" applyBorder="1" applyAlignment="1">
      <alignment horizontal="center" vertical="center" wrapText="1"/>
      <protection/>
    </xf>
    <xf numFmtId="0" fontId="39" fillId="0" borderId="176" xfId="34" applyFont="1" applyBorder="1" applyAlignment="1">
      <alignment horizontal="center" vertical="center" wrapText="1"/>
      <protection/>
    </xf>
    <xf numFmtId="49" fontId="37" fillId="0" borderId="177" xfId="34" applyNumberFormat="1" applyFont="1" applyBorder="1" applyAlignment="1">
      <alignment horizontal="center" vertical="center"/>
      <protection/>
    </xf>
    <xf numFmtId="49" fontId="37" fillId="0" borderId="178" xfId="34" applyNumberFormat="1" applyFont="1" applyBorder="1" applyAlignment="1">
      <alignment horizontal="center" vertical="center"/>
      <protection/>
    </xf>
    <xf numFmtId="0" fontId="40" fillId="0" borderId="179" xfId="34" applyFont="1" applyBorder="1" applyAlignment="1">
      <alignment horizontal="center" vertical="center"/>
      <protection/>
    </xf>
    <xf numFmtId="0" fontId="40" fillId="0" borderId="180" xfId="34" applyFont="1" applyBorder="1" applyAlignment="1">
      <alignment horizontal="center" vertical="center"/>
      <protection/>
    </xf>
    <xf numFmtId="3" fontId="41" fillId="0" borderId="181" xfId="34" applyNumberFormat="1" applyFont="1" applyBorder="1" applyAlignment="1">
      <alignment horizontal="center" vertical="center" wrapText="1"/>
      <protection/>
    </xf>
    <xf numFmtId="3" fontId="41" fillId="0" borderId="182" xfId="34" applyNumberFormat="1" applyFont="1" applyBorder="1" applyAlignment="1">
      <alignment horizontal="center" vertical="center" wrapText="1"/>
      <protection/>
    </xf>
    <xf numFmtId="3" fontId="41" fillId="0" borderId="179" xfId="34" applyNumberFormat="1" applyFont="1" applyBorder="1" applyAlignment="1">
      <alignment horizontal="center" vertical="center" wrapText="1"/>
      <protection/>
    </xf>
    <xf numFmtId="3" fontId="42" fillId="0" borderId="122" xfId="34" applyNumberFormat="1" applyFont="1" applyBorder="1" applyAlignment="1">
      <alignment horizontal="center" vertical="center" wrapText="1"/>
      <protection/>
    </xf>
    <xf numFmtId="3" fontId="41" fillId="0" borderId="183" xfId="34" applyNumberFormat="1" applyFont="1" applyBorder="1" applyAlignment="1">
      <alignment horizontal="center" vertical="center" wrapText="1"/>
      <protection/>
    </xf>
    <xf numFmtId="3" fontId="42" fillId="0" borderId="136" xfId="34" applyNumberFormat="1" applyFont="1" applyBorder="1" applyAlignment="1">
      <alignment horizontal="center" vertical="center" wrapText="1"/>
      <protection/>
    </xf>
    <xf numFmtId="3" fontId="11" fillId="0" borderId="0" xfId="0" applyNumberFormat="1" applyFont="1" applyBorder="1" applyAlignment="1">
      <alignment horizontal="center" vertical="center"/>
    </xf>
    <xf numFmtId="3" fontId="11" fillId="0" borderId="184" xfId="36" applyNumberFormat="1" applyFont="1" applyBorder="1" applyAlignment="1">
      <alignment horizontal="center" vertical="center" wrapText="1"/>
      <protection/>
    </xf>
    <xf numFmtId="3" fontId="11" fillId="0" borderId="72" xfId="36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85" xfId="36" applyFont="1" applyBorder="1" applyAlignment="1">
      <alignment horizontal="center" vertical="center" wrapText="1"/>
      <protection/>
    </xf>
    <xf numFmtId="0" fontId="11" fillId="0" borderId="70" xfId="36" applyFont="1" applyBorder="1" applyAlignment="1">
      <alignment horizontal="center" vertical="center" wrapText="1"/>
      <protection/>
    </xf>
    <xf numFmtId="0" fontId="11" fillId="0" borderId="151" xfId="36" applyFont="1" applyBorder="1" applyAlignment="1">
      <alignment horizontal="center" vertical="center"/>
      <protection/>
    </xf>
    <xf numFmtId="0" fontId="11" fillId="0" borderId="71" xfId="36" applyFont="1" applyBorder="1" applyAlignment="1">
      <alignment horizontal="center" vertical="center"/>
      <protection/>
    </xf>
    <xf numFmtId="0" fontId="11" fillId="0" borderId="151" xfId="36" applyFont="1" applyBorder="1" applyAlignment="1">
      <alignment horizontal="center" vertical="center" wrapText="1"/>
      <protection/>
    </xf>
    <xf numFmtId="0" fontId="11" fillId="0" borderId="71" xfId="36" applyFont="1" applyBorder="1" applyAlignment="1">
      <alignment horizontal="center" vertical="center" wrapText="1"/>
      <protection/>
    </xf>
    <xf numFmtId="0" fontId="11" fillId="0" borderId="184" xfId="36" applyFont="1" applyBorder="1" applyAlignment="1">
      <alignment horizontal="center" vertical="center" wrapText="1"/>
      <protection/>
    </xf>
    <xf numFmtId="0" fontId="11" fillId="0" borderId="72" xfId="36" applyFont="1" applyBorder="1" applyAlignment="1">
      <alignment horizontal="center" vertical="center" wrapText="1"/>
      <protection/>
    </xf>
    <xf numFmtId="3" fontId="11" fillId="0" borderId="185" xfId="36" applyNumberFormat="1" applyFont="1" applyBorder="1" applyAlignment="1">
      <alignment horizontal="center" vertical="center" wrapText="1"/>
      <protection/>
    </xf>
    <xf numFmtId="3" fontId="11" fillId="0" borderId="70" xfId="36" applyNumberFormat="1" applyFont="1" applyBorder="1" applyAlignment="1">
      <alignment horizontal="center" vertical="center" wrapText="1"/>
      <protection/>
    </xf>
    <xf numFmtId="3" fontId="11" fillId="0" borderId="75" xfId="36" applyNumberFormat="1" applyFont="1" applyBorder="1" applyAlignment="1">
      <alignment horizontal="center" vertical="center" wrapText="1"/>
      <protection/>
    </xf>
    <xf numFmtId="3" fontId="11" fillId="0" borderId="116" xfId="36" applyNumberFormat="1" applyFont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KTGVET98" xfId="20"/>
    <cellStyle name="Normál_Táblák-1" xfId="21"/>
    <cellStyle name="Normál_Munkafüzet1" xfId="22"/>
    <cellStyle name="Normál 3" xfId="23"/>
    <cellStyle name="Magyarázó szöveg 4" xfId="24"/>
    <cellStyle name="Normál 2 2" xfId="25"/>
    <cellStyle name="Magyarázó szöveg 3" xfId="26"/>
    <cellStyle name="Excel Built-in Normal" xfId="27"/>
    <cellStyle name="Normál_Beruh.felú-átadott-átvett" xfId="28"/>
    <cellStyle name="Normál 2" xfId="29"/>
    <cellStyle name="Ezres 2" xfId="30"/>
    <cellStyle name="Magyarázó szöveg" xfId="31"/>
    <cellStyle name="Magyarázó szöveg 2" xfId="32"/>
    <cellStyle name="Normál_Brigitől kisebbségek_Munkafüzet1" xfId="33"/>
    <cellStyle name="Normál 8" xfId="34"/>
    <cellStyle name="Normál_Munkafüzet3" xfId="35"/>
    <cellStyle name="Normál_EU-s_pályázatok 20150115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view="pageLayout" workbookViewId="0" topLeftCell="A25">
      <selection activeCell="E61" sqref="E61"/>
    </sheetView>
  </sheetViews>
  <sheetFormatPr defaultColWidth="9.140625" defaultRowHeight="15"/>
  <cols>
    <col min="1" max="1" width="68.421875" style="1" bestFit="1" customWidth="1"/>
    <col min="2" max="2" width="10.8515625" style="1" bestFit="1" customWidth="1"/>
    <col min="3" max="4" width="11.28125" style="1" bestFit="1" customWidth="1"/>
    <col min="5" max="5" width="59.7109375" style="1" bestFit="1" customWidth="1"/>
    <col min="6" max="6" width="10.140625" style="1" bestFit="1" customWidth="1"/>
    <col min="7" max="8" width="11.28125" style="1" bestFit="1" customWidth="1"/>
    <col min="9" max="16384" width="9.140625" style="1" customWidth="1"/>
  </cols>
  <sheetData>
    <row r="1" spans="1:8" ht="15">
      <c r="A1" s="1425" t="s">
        <v>0</v>
      </c>
      <c r="B1" s="1425"/>
      <c r="C1" s="1425"/>
      <c r="D1" s="1425"/>
      <c r="E1" s="1425"/>
      <c r="F1" s="1425"/>
      <c r="G1" s="1425"/>
      <c r="H1" s="1425"/>
    </row>
    <row r="2" spans="1:8" ht="15.75" thickBot="1">
      <c r="A2" s="3"/>
      <c r="B2" s="4"/>
      <c r="C2" s="4"/>
      <c r="D2" s="4"/>
      <c r="E2" s="4"/>
      <c r="F2" s="4"/>
      <c r="G2" s="4"/>
      <c r="H2" s="4"/>
    </row>
    <row r="3" spans="1:8" ht="15">
      <c r="A3" s="1426" t="s">
        <v>1</v>
      </c>
      <c r="B3" s="1427"/>
      <c r="C3" s="1427"/>
      <c r="D3" s="1428"/>
      <c r="E3" s="1429" t="s">
        <v>2</v>
      </c>
      <c r="F3" s="1429"/>
      <c r="G3" s="1429"/>
      <c r="H3" s="1430"/>
    </row>
    <row r="4" spans="1:8" ht="29.25" thickBot="1">
      <c r="A4" s="5" t="s">
        <v>3</v>
      </c>
      <c r="B4" s="6" t="s">
        <v>4</v>
      </c>
      <c r="C4" s="1065" t="s">
        <v>915</v>
      </c>
      <c r="D4" s="991" t="s">
        <v>937</v>
      </c>
      <c r="E4" s="982" t="s">
        <v>3</v>
      </c>
      <c r="F4" s="6" t="s">
        <v>5</v>
      </c>
      <c r="G4" s="7" t="s">
        <v>69</v>
      </c>
      <c r="H4" s="991" t="s">
        <v>937</v>
      </c>
    </row>
    <row r="5" spans="1:8" ht="15">
      <c r="A5" s="8" t="s">
        <v>6</v>
      </c>
      <c r="B5" s="9">
        <f>'3. melléklet'!K5</f>
        <v>1143193</v>
      </c>
      <c r="C5" s="9">
        <f>'3. melléklet'!L5</f>
        <v>1619428</v>
      </c>
      <c r="D5" s="10">
        <f>'3. melléklet'!M5</f>
        <v>1634305</v>
      </c>
      <c r="E5" s="45" t="s">
        <v>7</v>
      </c>
      <c r="F5" s="9">
        <f>'4. melléklet'!M6</f>
        <v>1427857</v>
      </c>
      <c r="G5" s="12">
        <f>'4. melléklet'!N6</f>
        <v>1714818</v>
      </c>
      <c r="H5" s="10">
        <f>'4. melléklet'!O6</f>
        <v>1557975</v>
      </c>
    </row>
    <row r="6" spans="1:8" ht="15">
      <c r="A6" s="13"/>
      <c r="B6" s="14"/>
      <c r="C6" s="14"/>
      <c r="D6" s="15"/>
      <c r="E6" s="983"/>
      <c r="F6" s="14"/>
      <c r="G6" s="16"/>
      <c r="H6" s="15"/>
    </row>
    <row r="7" spans="1:8" ht="15">
      <c r="A7" s="17" t="s">
        <v>8</v>
      </c>
      <c r="B7" s="14">
        <f>SUM(B8:B9)</f>
        <v>218119</v>
      </c>
      <c r="C7" s="14">
        <f aca="true" t="shared" si="0" ref="C7">SUM(C8:C9)</f>
        <v>977330</v>
      </c>
      <c r="D7" s="15">
        <f aca="true" t="shared" si="1" ref="D7">SUM(D8:D9)</f>
        <v>951929</v>
      </c>
      <c r="E7" s="973" t="s">
        <v>10</v>
      </c>
      <c r="F7" s="14">
        <f>'4. melléklet'!M7</f>
        <v>297493</v>
      </c>
      <c r="G7" s="16">
        <f>'4. melléklet'!N7</f>
        <v>361608</v>
      </c>
      <c r="H7" s="15">
        <f>'4. melléklet'!O7</f>
        <v>340236</v>
      </c>
    </row>
    <row r="8" spans="1:8" ht="15">
      <c r="A8" s="977" t="s">
        <v>799</v>
      </c>
      <c r="B8" s="974">
        <f>'3. melléklet'!K9</f>
        <v>0</v>
      </c>
      <c r="C8" s="974">
        <f>'3. melléklet'!L9</f>
        <v>0</v>
      </c>
      <c r="D8" s="976">
        <f>'3. melléklet'!M9</f>
        <v>0</v>
      </c>
      <c r="E8" s="977"/>
      <c r="F8" s="19"/>
      <c r="G8" s="26"/>
      <c r="H8" s="20"/>
    </row>
    <row r="9" spans="1:8" ht="15">
      <c r="A9" s="18" t="s">
        <v>9</v>
      </c>
      <c r="B9" s="19">
        <f>'3. melléklet'!K10</f>
        <v>218119</v>
      </c>
      <c r="C9" s="19">
        <f>'3. melléklet'!L10</f>
        <v>977330</v>
      </c>
      <c r="D9" s="20">
        <f>'3. melléklet'!M10</f>
        <v>951929</v>
      </c>
      <c r="E9" s="973" t="s">
        <v>13</v>
      </c>
      <c r="F9" s="14">
        <f>'4. melléklet'!M8</f>
        <v>2059727</v>
      </c>
      <c r="G9" s="16">
        <f>'4. melléklet'!N8</f>
        <v>2687765</v>
      </c>
      <c r="H9" s="15">
        <f>'4. melléklet'!O8</f>
        <v>2149019</v>
      </c>
    </row>
    <row r="10" spans="1:8" ht="15">
      <c r="A10" s="18"/>
      <c r="B10" s="19"/>
      <c r="C10" s="19"/>
      <c r="D10" s="20"/>
      <c r="E10" s="973"/>
      <c r="F10" s="14"/>
      <c r="G10" s="16"/>
      <c r="H10" s="15"/>
    </row>
    <row r="11" spans="1:8" ht="15">
      <c r="A11" s="21" t="s">
        <v>11</v>
      </c>
      <c r="B11" s="14">
        <f>B12</f>
        <v>0</v>
      </c>
      <c r="C11" s="14">
        <f aca="true" t="shared" si="2" ref="C11:D11">C12</f>
        <v>1167789</v>
      </c>
      <c r="D11" s="15">
        <f t="shared" si="2"/>
        <v>1170623</v>
      </c>
      <c r="E11" s="973" t="s">
        <v>15</v>
      </c>
      <c r="F11" s="14">
        <f>'4. melléklet'!M9</f>
        <v>67900</v>
      </c>
      <c r="G11" s="16">
        <f>'4. melléklet'!N9</f>
        <v>62514</v>
      </c>
      <c r="H11" s="15">
        <f>'4. melléklet'!O9</f>
        <v>70333</v>
      </c>
    </row>
    <row r="12" spans="1:8" ht="15">
      <c r="A12" s="18" t="s">
        <v>9</v>
      </c>
      <c r="B12" s="19">
        <f>'3. melléklet'!K12</f>
        <v>0</v>
      </c>
      <c r="C12" s="19">
        <f>'3. melléklet'!L12</f>
        <v>1167789</v>
      </c>
      <c r="D12" s="20">
        <f>'3. melléklet'!M12</f>
        <v>1170623</v>
      </c>
      <c r="E12" s="973"/>
      <c r="F12" s="14"/>
      <c r="G12" s="16"/>
      <c r="H12" s="15"/>
    </row>
    <row r="13" spans="1:8" ht="15">
      <c r="A13" s="21"/>
      <c r="B13" s="19"/>
      <c r="C13" s="19"/>
      <c r="D13" s="20"/>
      <c r="E13" s="973" t="s">
        <v>17</v>
      </c>
      <c r="F13" s="14">
        <f>SUM(F14:F18)</f>
        <v>1089152</v>
      </c>
      <c r="G13" s="16">
        <f aca="true" t="shared" si="3" ref="G13:H13">SUM(G14:G18)</f>
        <v>1356242</v>
      </c>
      <c r="H13" s="15">
        <f t="shared" si="3"/>
        <v>1400370</v>
      </c>
    </row>
    <row r="14" spans="1:8" ht="15">
      <c r="A14" s="22" t="s">
        <v>12</v>
      </c>
      <c r="B14" s="14">
        <f>SUM(B15:B19)</f>
        <v>2045000</v>
      </c>
      <c r="C14" s="14">
        <f aca="true" t="shared" si="4" ref="C14">SUM(C15:C19)</f>
        <v>2045000</v>
      </c>
      <c r="D14" s="15">
        <f aca="true" t="shared" si="5" ref="D14">SUM(D15:D19)</f>
        <v>2206952</v>
      </c>
      <c r="E14" s="977" t="s">
        <v>18</v>
      </c>
      <c r="F14" s="19">
        <f>'4. melléklet'!M11</f>
        <v>18000</v>
      </c>
      <c r="G14" s="23">
        <f>'4. melléklet'!N11</f>
        <v>500</v>
      </c>
      <c r="H14" s="24">
        <f>'4. melléklet'!O11</f>
        <v>18140</v>
      </c>
    </row>
    <row r="15" spans="1:8" ht="15">
      <c r="A15" s="18" t="s">
        <v>14</v>
      </c>
      <c r="B15" s="19">
        <f>'3. melléklet'!K14</f>
        <v>500000</v>
      </c>
      <c r="C15" s="19">
        <f>'3. melléklet'!L14</f>
        <v>500000</v>
      </c>
      <c r="D15" s="20">
        <f>'3. melléklet'!M14</f>
        <v>547328</v>
      </c>
      <c r="E15" s="977" t="s">
        <v>19</v>
      </c>
      <c r="F15" s="19">
        <f>'4. melléklet'!M12</f>
        <v>0</v>
      </c>
      <c r="G15" s="26">
        <f>'4. melléklet'!N12</f>
        <v>17500</v>
      </c>
      <c r="H15" s="20">
        <f>'4. melléklet'!O12</f>
        <v>17500</v>
      </c>
    </row>
    <row r="16" spans="1:8" ht="15">
      <c r="A16" s="18" t="s">
        <v>85</v>
      </c>
      <c r="B16" s="19">
        <f>'3. melléklet'!K17</f>
        <v>1537000</v>
      </c>
      <c r="C16" s="19">
        <f>'3. melléklet'!L17</f>
        <v>1535000</v>
      </c>
      <c r="D16" s="20">
        <f>'3. melléklet'!M17</f>
        <v>1647724</v>
      </c>
      <c r="E16" s="977" t="s">
        <v>20</v>
      </c>
      <c r="F16" s="19">
        <f>'4. melléklet'!M13</f>
        <v>40000</v>
      </c>
      <c r="G16" s="26">
        <f>'4. melléklet'!N13</f>
        <v>55000</v>
      </c>
      <c r="H16" s="20">
        <f>'4. melléklet'!O13</f>
        <v>62700</v>
      </c>
    </row>
    <row r="17" spans="1:8" ht="15">
      <c r="A17" s="25" t="s">
        <v>16</v>
      </c>
      <c r="B17" s="19">
        <f>'3. melléklet'!K22</f>
        <v>5000</v>
      </c>
      <c r="C17" s="19">
        <f>'3. melléklet'!L22</f>
        <v>5000</v>
      </c>
      <c r="D17" s="20">
        <f>'3. melléklet'!M22</f>
        <v>3119</v>
      </c>
      <c r="E17" s="977" t="s">
        <v>22</v>
      </c>
      <c r="F17" s="19">
        <f>'4. melléklet'!M14</f>
        <v>916152</v>
      </c>
      <c r="G17" s="26">
        <f>'4. melléklet'!N14</f>
        <v>1058164</v>
      </c>
      <c r="H17" s="20">
        <f>'4. melléklet'!O14</f>
        <v>1085607</v>
      </c>
    </row>
    <row r="18" spans="1:8" ht="15">
      <c r="A18" s="25" t="s">
        <v>800</v>
      </c>
      <c r="B18" s="19">
        <f>'3. melléklet'!K23</f>
        <v>3000</v>
      </c>
      <c r="C18" s="19">
        <f>'3. melléklet'!L23</f>
        <v>3000</v>
      </c>
      <c r="D18" s="20">
        <f>'3. melléklet'!M23</f>
        <v>6205</v>
      </c>
      <c r="E18" s="977" t="s">
        <v>24</v>
      </c>
      <c r="F18" s="19">
        <f>SUM(F19:F21)</f>
        <v>115000</v>
      </c>
      <c r="G18" s="26">
        <f aca="true" t="shared" si="6" ref="G18:H18">SUM(G19:G21)</f>
        <v>225078</v>
      </c>
      <c r="H18" s="20">
        <f t="shared" si="6"/>
        <v>216423</v>
      </c>
    </row>
    <row r="19" spans="1:8" ht="15">
      <c r="A19" s="25" t="s">
        <v>95</v>
      </c>
      <c r="B19" s="19">
        <f>'3. melléklet'!K24</f>
        <v>0</v>
      </c>
      <c r="C19" s="19">
        <f>'3. melléklet'!L24</f>
        <v>2000</v>
      </c>
      <c r="D19" s="20">
        <f>'3. melléklet'!M24</f>
        <v>2576</v>
      </c>
      <c r="E19" s="984" t="s">
        <v>26</v>
      </c>
      <c r="F19" s="30">
        <f>'4. melléklet'!M16</f>
        <v>15000</v>
      </c>
      <c r="G19" s="31">
        <f>'4. melléklet'!N16</f>
        <v>4135</v>
      </c>
      <c r="H19" s="28">
        <f>'4. melléklet'!O16</f>
        <v>3728</v>
      </c>
    </row>
    <row r="20" spans="1:8" ht="15">
      <c r="A20" s="22"/>
      <c r="B20" s="14"/>
      <c r="C20" s="14"/>
      <c r="D20" s="20"/>
      <c r="E20" s="985" t="s">
        <v>28</v>
      </c>
      <c r="F20" s="30">
        <f>'4. melléklet'!M17</f>
        <v>100000</v>
      </c>
      <c r="G20" s="31">
        <f>'4. melléklet'!N17</f>
        <v>211600</v>
      </c>
      <c r="H20" s="28">
        <f>'4. melléklet'!O17</f>
        <v>203352</v>
      </c>
    </row>
    <row r="21" spans="1:8" ht="15" customHeight="1">
      <c r="A21" s="22" t="s">
        <v>21</v>
      </c>
      <c r="B21" s="14">
        <f>SUM(B22:B29)</f>
        <v>2235961</v>
      </c>
      <c r="C21" s="14">
        <f aca="true" t="shared" si="7" ref="C21:D21">SUM(C22:C29)</f>
        <v>2487986</v>
      </c>
      <c r="D21" s="15">
        <f t="shared" si="7"/>
        <v>1752781</v>
      </c>
      <c r="E21" s="986" t="s">
        <v>30</v>
      </c>
      <c r="F21" s="30">
        <f>'4. melléklet'!M18</f>
        <v>0</v>
      </c>
      <c r="G21" s="31">
        <f>'4. melléklet'!N18</f>
        <v>9343</v>
      </c>
      <c r="H21" s="28">
        <f>'4. melléklet'!O18</f>
        <v>9343</v>
      </c>
    </row>
    <row r="22" spans="1:8" ht="30">
      <c r="A22" s="27" t="s">
        <v>23</v>
      </c>
      <c r="B22" s="19">
        <f>'3. melléklet'!K26</f>
        <v>1536222</v>
      </c>
      <c r="C22" s="19">
        <f>'3. melléklet'!L26</f>
        <v>1542270</v>
      </c>
      <c r="D22" s="20">
        <f>'3. melléklet'!M26</f>
        <v>952455</v>
      </c>
      <c r="E22" s="983"/>
      <c r="F22" s="19"/>
      <c r="G22" s="26"/>
      <c r="H22" s="20"/>
    </row>
    <row r="23" spans="1:8" ht="15">
      <c r="A23" s="18" t="s">
        <v>25</v>
      </c>
      <c r="B23" s="19">
        <f>'3. melléklet'!K27</f>
        <v>66269</v>
      </c>
      <c r="C23" s="19">
        <f>'3. melléklet'!L27</f>
        <v>251514</v>
      </c>
      <c r="D23" s="20">
        <f>'3. melléklet'!M27</f>
        <v>248927</v>
      </c>
      <c r="E23" s="973" t="s">
        <v>33</v>
      </c>
      <c r="F23" s="14">
        <f>'4. melléklet'!M19</f>
        <v>1863729</v>
      </c>
      <c r="G23" s="16">
        <f>'4. melléklet'!N19</f>
        <v>3115837</v>
      </c>
      <c r="H23" s="15">
        <f>'4. melléklet'!O19</f>
        <v>3202919</v>
      </c>
    </row>
    <row r="24" spans="1:8" ht="15">
      <c r="A24" s="18" t="s">
        <v>27</v>
      </c>
      <c r="B24" s="19">
        <f>'3. melléklet'!K28</f>
        <v>27960</v>
      </c>
      <c r="C24" s="19">
        <f>'3. melléklet'!L28</f>
        <v>27960</v>
      </c>
      <c r="D24" s="20">
        <f>'3. melléklet'!M28</f>
        <v>29079</v>
      </c>
      <c r="E24" s="973"/>
      <c r="F24" s="19"/>
      <c r="G24" s="26"/>
      <c r="H24" s="28"/>
    </row>
    <row r="25" spans="1:8" ht="15">
      <c r="A25" s="18" t="s">
        <v>29</v>
      </c>
      <c r="B25" s="19">
        <f>'3. melléklet'!K29</f>
        <v>94520</v>
      </c>
      <c r="C25" s="19">
        <f>'3. melléklet'!L29</f>
        <v>94520</v>
      </c>
      <c r="D25" s="20">
        <f>'3. melléklet'!M29</f>
        <v>88949</v>
      </c>
      <c r="E25" s="973" t="s">
        <v>35</v>
      </c>
      <c r="F25" s="14">
        <f>'4. melléklet'!M20</f>
        <v>529166</v>
      </c>
      <c r="G25" s="16">
        <f>'4. melléklet'!N20</f>
        <v>737165</v>
      </c>
      <c r="H25" s="15">
        <f>'4. melléklet'!O20</f>
        <v>753935</v>
      </c>
    </row>
    <row r="26" spans="1:8" ht="15">
      <c r="A26" s="18" t="s">
        <v>31</v>
      </c>
      <c r="B26" s="19">
        <f>'3. melléklet'!K30</f>
        <v>81688</v>
      </c>
      <c r="C26" s="19">
        <f>'3. melléklet'!L30</f>
        <v>91657</v>
      </c>
      <c r="D26" s="20">
        <f>'3. melléklet'!M30</f>
        <v>97002</v>
      </c>
      <c r="E26" s="973"/>
      <c r="F26" s="14"/>
      <c r="G26" s="16"/>
      <c r="H26" s="15"/>
    </row>
    <row r="27" spans="1:8" ht="15">
      <c r="A27" s="18" t="s">
        <v>32</v>
      </c>
      <c r="B27" s="19">
        <f>'3. melléklet'!K31</f>
        <v>429052</v>
      </c>
      <c r="C27" s="19">
        <f>'3. melléklet'!L31</f>
        <v>478758</v>
      </c>
      <c r="D27" s="20">
        <f>'3. melléklet'!M31</f>
        <v>322302</v>
      </c>
      <c r="E27" s="973" t="s">
        <v>38</v>
      </c>
      <c r="F27" s="14">
        <f>SUM(F28:F30)</f>
        <v>57200</v>
      </c>
      <c r="G27" s="16">
        <f aca="true" t="shared" si="8" ref="G27:H27">SUM(G28:G30)</f>
        <v>8190</v>
      </c>
      <c r="H27" s="15">
        <f t="shared" si="8"/>
        <v>3650</v>
      </c>
    </row>
    <row r="28" spans="1:8" ht="15">
      <c r="A28" s="29" t="s">
        <v>801</v>
      </c>
      <c r="B28" s="19">
        <f>'3. melléklet'!K32</f>
        <v>150</v>
      </c>
      <c r="C28" s="19">
        <f>'3. melléklet'!L32</f>
        <v>150</v>
      </c>
      <c r="D28" s="20">
        <f>'3. melléklet'!M32</f>
        <v>150</v>
      </c>
      <c r="E28" s="977" t="s">
        <v>20</v>
      </c>
      <c r="F28" s="19">
        <f>'4. melléklet'!M22</f>
        <v>1200</v>
      </c>
      <c r="G28" s="26">
        <f>'4. melléklet'!N22</f>
        <v>1400</v>
      </c>
      <c r="H28" s="20">
        <f>'4. melléklet'!O22</f>
        <v>1600</v>
      </c>
    </row>
    <row r="29" spans="1:8" ht="15">
      <c r="A29" s="29" t="s">
        <v>34</v>
      </c>
      <c r="B29" s="19">
        <f>'3. melléklet'!K33</f>
        <v>100</v>
      </c>
      <c r="C29" s="19">
        <f>'3. melléklet'!L33</f>
        <v>1157</v>
      </c>
      <c r="D29" s="20">
        <f>'3. melléklet'!M33</f>
        <v>13917</v>
      </c>
      <c r="E29" s="977" t="s">
        <v>40</v>
      </c>
      <c r="F29" s="19">
        <f>'4. melléklet'!M23</f>
        <v>6000</v>
      </c>
      <c r="G29" s="26">
        <f>'4. melléklet'!N23</f>
        <v>6790</v>
      </c>
      <c r="H29" s="20">
        <f>'4. melléklet'!O23</f>
        <v>2050</v>
      </c>
    </row>
    <row r="30" spans="1:8" ht="15">
      <c r="A30" s="29"/>
      <c r="B30" s="19"/>
      <c r="C30" s="19"/>
      <c r="D30" s="20"/>
      <c r="E30" s="977" t="s">
        <v>41</v>
      </c>
      <c r="F30" s="19">
        <f>F31</f>
        <v>50000</v>
      </c>
      <c r="G30" s="26">
        <f aca="true" t="shared" si="9" ref="G30:H30">G31</f>
        <v>0</v>
      </c>
      <c r="H30" s="20">
        <f t="shared" si="9"/>
        <v>0</v>
      </c>
    </row>
    <row r="31" spans="1:8" ht="15">
      <c r="A31" s="22" t="s">
        <v>36</v>
      </c>
      <c r="B31" s="14">
        <f>SUM(B32:B33)</f>
        <v>1500</v>
      </c>
      <c r="C31" s="14">
        <f aca="true" t="shared" si="10" ref="C31">SUM(C32:C33)</f>
        <v>27434</v>
      </c>
      <c r="D31" s="15">
        <f aca="true" t="shared" si="11" ref="D31">SUM(D32:D33)</f>
        <v>27434</v>
      </c>
      <c r="E31" s="984" t="s">
        <v>43</v>
      </c>
      <c r="F31" s="30">
        <f>'4. melléklet'!M25</f>
        <v>50000</v>
      </c>
      <c r="G31" s="31">
        <f>'4. melléklet'!N25</f>
        <v>0</v>
      </c>
      <c r="H31" s="28">
        <f>'4. melléklet'!O25</f>
        <v>0</v>
      </c>
    </row>
    <row r="32" spans="1:8" ht="15">
      <c r="A32" s="981" t="s">
        <v>37</v>
      </c>
      <c r="B32" s="974">
        <f>'3. melléklet'!K35</f>
        <v>1500</v>
      </c>
      <c r="C32" s="974">
        <f>'3. melléklet'!L35</f>
        <v>25879</v>
      </c>
      <c r="D32" s="976">
        <f>'3. melléklet'!M35</f>
        <v>25879</v>
      </c>
      <c r="E32" s="984"/>
      <c r="F32" s="978"/>
      <c r="G32" s="979"/>
      <c r="H32" s="980"/>
    </row>
    <row r="33" spans="1:8" ht="15">
      <c r="A33" s="18" t="s">
        <v>802</v>
      </c>
      <c r="B33" s="19">
        <f>'3. melléklet'!K36</f>
        <v>0</v>
      </c>
      <c r="C33" s="19">
        <f>'3. melléklet'!L36</f>
        <v>1555</v>
      </c>
      <c r="D33" s="20">
        <f>'3. melléklet'!M36</f>
        <v>1555</v>
      </c>
      <c r="E33" s="984"/>
      <c r="F33" s="19"/>
      <c r="G33" s="26"/>
      <c r="H33" s="20"/>
    </row>
    <row r="34" spans="1:8" ht="15">
      <c r="A34" s="18"/>
      <c r="B34" s="19"/>
      <c r="C34" s="19"/>
      <c r="D34" s="20"/>
      <c r="E34" s="984"/>
      <c r="F34" s="974"/>
      <c r="G34" s="975"/>
      <c r="H34" s="976"/>
    </row>
    <row r="35" spans="1:8" ht="15">
      <c r="A35" s="32" t="s">
        <v>39</v>
      </c>
      <c r="B35" s="14">
        <f>SUM(B36:B37)</f>
        <v>50912</v>
      </c>
      <c r="C35" s="14">
        <f aca="true" t="shared" si="12" ref="C35:D35">SUM(C36:C37)</f>
        <v>82082</v>
      </c>
      <c r="D35" s="15">
        <f t="shared" si="12"/>
        <v>29617</v>
      </c>
      <c r="E35" s="984"/>
      <c r="F35" s="19"/>
      <c r="G35" s="26"/>
      <c r="H35" s="20"/>
    </row>
    <row r="36" spans="1:8" ht="15">
      <c r="A36" s="18" t="s">
        <v>20</v>
      </c>
      <c r="B36" s="19">
        <f>'3. melléklet'!K38</f>
        <v>40000</v>
      </c>
      <c r="C36" s="19">
        <f>'3. melléklet'!L38</f>
        <v>55000</v>
      </c>
      <c r="D36" s="20">
        <f>'3. melléklet'!M38</f>
        <v>20000</v>
      </c>
      <c r="E36" s="984"/>
      <c r="F36" s="19"/>
      <c r="G36" s="26"/>
      <c r="H36" s="20"/>
    </row>
    <row r="37" spans="1:8" ht="15">
      <c r="A37" s="18" t="s">
        <v>42</v>
      </c>
      <c r="B37" s="19">
        <f>'3. melléklet'!K39</f>
        <v>10912</v>
      </c>
      <c r="C37" s="19">
        <f>'3. melléklet'!L39</f>
        <v>27082</v>
      </c>
      <c r="D37" s="20">
        <f>'3. melléklet'!M39</f>
        <v>9617</v>
      </c>
      <c r="E37" s="984"/>
      <c r="F37" s="805"/>
      <c r="G37" s="807"/>
      <c r="H37" s="806"/>
    </row>
    <row r="38" spans="1:8" ht="15">
      <c r="A38" s="22"/>
      <c r="B38" s="19"/>
      <c r="C38" s="19"/>
      <c r="D38" s="20"/>
      <c r="E38" s="984"/>
      <c r="F38" s="19"/>
      <c r="G38" s="26"/>
      <c r="H38" s="20"/>
    </row>
    <row r="39" spans="1:8" ht="15">
      <c r="A39" s="17" t="s">
        <v>44</v>
      </c>
      <c r="B39" s="14">
        <f>SUM(B40:B41)</f>
        <v>191619</v>
      </c>
      <c r="C39" s="14">
        <f aca="true" t="shared" si="13" ref="C39">SUM(C40:C41)</f>
        <v>177654</v>
      </c>
      <c r="D39" s="15">
        <f aca="true" t="shared" si="14" ref="D39">SUM(D40:D41)</f>
        <v>190655</v>
      </c>
      <c r="E39" s="984"/>
      <c r="F39" s="19"/>
      <c r="G39" s="26"/>
      <c r="H39" s="20"/>
    </row>
    <row r="40" spans="1:8" ht="15">
      <c r="A40" s="18" t="s">
        <v>20</v>
      </c>
      <c r="B40" s="19">
        <f>'3. melléklet'!K41</f>
        <v>1336</v>
      </c>
      <c r="C40" s="19">
        <f>'3. melléklet'!L41</f>
        <v>1376</v>
      </c>
      <c r="D40" s="20">
        <f>'3. melléklet'!M41</f>
        <v>1376</v>
      </c>
      <c r="E40" s="984"/>
      <c r="F40" s="30"/>
      <c r="G40" s="31"/>
      <c r="H40" s="28"/>
    </row>
    <row r="41" spans="1:8" ht="15">
      <c r="A41" s="18" t="s">
        <v>42</v>
      </c>
      <c r="B41" s="19">
        <f>'3. melléklet'!K42</f>
        <v>190283</v>
      </c>
      <c r="C41" s="19">
        <f>'3. melléklet'!L42</f>
        <v>176278</v>
      </c>
      <c r="D41" s="20">
        <f>'3. melléklet'!M42</f>
        <v>189279</v>
      </c>
      <c r="E41" s="984"/>
      <c r="F41" s="14"/>
      <c r="G41" s="16"/>
      <c r="H41" s="15"/>
    </row>
    <row r="42" spans="1:8" ht="15.75" thickBot="1">
      <c r="A42" s="129"/>
      <c r="B42" s="34"/>
      <c r="C42" s="34"/>
      <c r="D42" s="35"/>
      <c r="E42" s="987"/>
      <c r="F42" s="131"/>
      <c r="G42" s="132"/>
      <c r="H42" s="133"/>
    </row>
    <row r="43" spans="1:8" ht="15.75" thickBot="1">
      <c r="A43" s="137" t="s">
        <v>54</v>
      </c>
      <c r="B43" s="37">
        <f>B5+B6+B7+B11+B14+B21+B31+B35+B39</f>
        <v>5886304</v>
      </c>
      <c r="C43" s="37">
        <f>C5+C6+C7+C11+C14+C21+C31+C35+C39</f>
        <v>8584703</v>
      </c>
      <c r="D43" s="38">
        <f>D5+D6+D7+D11+D14+D21+D31+D35+D39</f>
        <v>7964296</v>
      </c>
      <c r="E43" s="988" t="s">
        <v>55</v>
      </c>
      <c r="F43" s="37">
        <f>F5+F7+F9+F11+F13+F23+F25+F27</f>
        <v>7392224</v>
      </c>
      <c r="G43" s="40">
        <f>G5+G7+G9+G11+G13+G23+G25+G27</f>
        <v>10044139</v>
      </c>
      <c r="H43" s="38">
        <f>H5+H7+H9+H11+H13+H23+H25+H27</f>
        <v>9478437</v>
      </c>
    </row>
    <row r="44" spans="1:8" ht="15">
      <c r="A44" s="134"/>
      <c r="B44" s="135"/>
      <c r="C44" s="135"/>
      <c r="D44" s="136"/>
      <c r="E44" s="45"/>
      <c r="F44" s="9"/>
      <c r="G44" s="12"/>
      <c r="H44" s="10"/>
    </row>
    <row r="45" spans="1:8" ht="15">
      <c r="A45" s="2" t="s">
        <v>45</v>
      </c>
      <c r="B45" s="14">
        <f>B43-F43</f>
        <v>-1505920</v>
      </c>
      <c r="C45" s="14">
        <f>C43-G43</f>
        <v>-1459436</v>
      </c>
      <c r="D45" s="15">
        <f>D43-H43</f>
        <v>-1514141</v>
      </c>
      <c r="E45" s="973"/>
      <c r="F45" s="14"/>
      <c r="G45" s="16"/>
      <c r="H45" s="15"/>
    </row>
    <row r="46" spans="1:8" ht="15">
      <c r="A46" s="2"/>
      <c r="B46" s="14"/>
      <c r="C46" s="14"/>
      <c r="D46" s="15"/>
      <c r="E46" s="973" t="s">
        <v>46</v>
      </c>
      <c r="F46" s="14">
        <f>'4. melléklet'!M27</f>
        <v>151067</v>
      </c>
      <c r="G46" s="16">
        <f>'4. melléklet'!N27</f>
        <v>151067</v>
      </c>
      <c r="H46" s="15">
        <f>'4. melléklet'!O27</f>
        <v>107067</v>
      </c>
    </row>
    <row r="47" spans="1:8" ht="15">
      <c r="A47" s="22" t="s">
        <v>96</v>
      </c>
      <c r="B47" s="14">
        <f>'3. melléklet'!K44</f>
        <v>0</v>
      </c>
      <c r="C47" s="14">
        <f>'3. melléklet'!L44</f>
        <v>1500000</v>
      </c>
      <c r="D47" s="15">
        <f>'3. melléklet'!M44</f>
        <v>747000</v>
      </c>
      <c r="E47" s="973" t="s">
        <v>97</v>
      </c>
      <c r="F47" s="14">
        <f>'4. melléklet'!M28</f>
        <v>0</v>
      </c>
      <c r="G47" s="16">
        <f>'4. melléklet'!N28</f>
        <v>1500000</v>
      </c>
      <c r="H47" s="15">
        <f>'4. melléklet'!O28</f>
        <v>747000</v>
      </c>
    </row>
    <row r="48" spans="1:8" ht="15">
      <c r="A48" s="32" t="s">
        <v>93</v>
      </c>
      <c r="B48" s="14">
        <f>'3. melléklet'!K45</f>
        <v>35000</v>
      </c>
      <c r="C48" s="14">
        <f>'3. melléklet'!L45</f>
        <v>35000</v>
      </c>
      <c r="D48" s="15">
        <f>'3. melléklet'!M45</f>
        <v>45699</v>
      </c>
      <c r="E48" s="973" t="s">
        <v>108</v>
      </c>
      <c r="F48" s="14">
        <f>'4. melléklet'!M29</f>
        <v>35000</v>
      </c>
      <c r="G48" s="16">
        <f>'4. melléklet'!N29</f>
        <v>43436</v>
      </c>
      <c r="H48" s="15">
        <f>'4. melléklet'!O29</f>
        <v>43436</v>
      </c>
    </row>
    <row r="49" spans="1:8" ht="15" customHeight="1">
      <c r="A49" s="32" t="s">
        <v>798</v>
      </c>
      <c r="B49" s="14">
        <f>'3. melléklet'!K46</f>
        <v>1656987</v>
      </c>
      <c r="C49" s="14">
        <f>'3. melléklet'!L46</f>
        <v>1618939</v>
      </c>
      <c r="D49" s="15">
        <f>'3. melléklet'!M46</f>
        <v>1618945</v>
      </c>
      <c r="E49" s="973"/>
      <c r="F49" s="14"/>
      <c r="G49" s="16"/>
      <c r="H49" s="15"/>
    </row>
    <row r="50" spans="1:8" ht="15">
      <c r="A50" s="33" t="s">
        <v>49</v>
      </c>
      <c r="B50" s="14">
        <f>'3. melléklet'!K47</f>
        <v>1943975</v>
      </c>
      <c r="C50" s="14">
        <f>'3. melléklet'!L47</f>
        <v>2001225</v>
      </c>
      <c r="D50" s="15">
        <f>'3. melléklet'!M47</f>
        <v>1797598</v>
      </c>
      <c r="E50" s="973" t="s">
        <v>50</v>
      </c>
      <c r="F50" s="14">
        <f>'4. melléklet'!M30</f>
        <v>1943975</v>
      </c>
      <c r="G50" s="16">
        <f>'4. melléklet'!N30</f>
        <v>2001225</v>
      </c>
      <c r="H50" s="15">
        <f>'4. melléklet'!O30</f>
        <v>1797598</v>
      </c>
    </row>
    <row r="51" spans="1:8" ht="15.75" thickBot="1">
      <c r="A51" s="139"/>
      <c r="B51" s="131"/>
      <c r="C51" s="131"/>
      <c r="D51" s="133"/>
      <c r="E51" s="987"/>
      <c r="F51" s="131"/>
      <c r="G51" s="132"/>
      <c r="H51" s="133"/>
    </row>
    <row r="52" spans="1:8" ht="15.75" thickBot="1">
      <c r="A52" s="145" t="s">
        <v>53</v>
      </c>
      <c r="B52" s="37">
        <f>SUM(B47:B50)</f>
        <v>3635962</v>
      </c>
      <c r="C52" s="37">
        <f>SUM(C47:C50)</f>
        <v>5155164</v>
      </c>
      <c r="D52" s="38">
        <f>SUM(D47:D50)</f>
        <v>4209242</v>
      </c>
      <c r="E52" s="988" t="s">
        <v>56</v>
      </c>
      <c r="F52" s="37">
        <f>SUM(F46:F50)</f>
        <v>2130042</v>
      </c>
      <c r="G52" s="40">
        <f aca="true" t="shared" si="15" ref="G52:H52">SUM(G46:G50)</f>
        <v>3695728</v>
      </c>
      <c r="H52" s="38">
        <f t="shared" si="15"/>
        <v>2695101</v>
      </c>
    </row>
    <row r="53" spans="1:8" ht="15.75" thickBot="1">
      <c r="A53" s="140"/>
      <c r="B53" s="141"/>
      <c r="C53" s="141"/>
      <c r="D53" s="142"/>
      <c r="E53" s="989"/>
      <c r="F53" s="141"/>
      <c r="G53" s="144"/>
      <c r="H53" s="142"/>
    </row>
    <row r="54" spans="1:8" ht="15.75" thickBot="1">
      <c r="A54" s="36" t="s">
        <v>51</v>
      </c>
      <c r="B54" s="37">
        <f>B43+B52</f>
        <v>9522266</v>
      </c>
      <c r="C54" s="37">
        <f>C43+C52</f>
        <v>13739867</v>
      </c>
      <c r="D54" s="38">
        <f>D43+D52</f>
        <v>12173538</v>
      </c>
      <c r="E54" s="990" t="s">
        <v>52</v>
      </c>
      <c r="F54" s="37">
        <f>F43+F52</f>
        <v>9522266</v>
      </c>
      <c r="G54" s="40">
        <f>G43+G52</f>
        <v>13739867</v>
      </c>
      <c r="H54" s="38">
        <f>H43+H52</f>
        <v>12173538</v>
      </c>
    </row>
    <row r="57" spans="3:4" ht="15">
      <c r="C57" s="1422"/>
      <c r="D57" s="1422"/>
    </row>
    <row r="58" spans="1:4" ht="15">
      <c r="A58" s="1423" t="s">
        <v>995</v>
      </c>
      <c r="C58" s="1422"/>
      <c r="D58" s="1422"/>
    </row>
    <row r="59" spans="1:4" ht="15">
      <c r="A59" s="1423" t="s">
        <v>996</v>
      </c>
      <c r="C59" s="1422"/>
      <c r="D59" s="1422"/>
    </row>
    <row r="60" spans="1:4" ht="15">
      <c r="A60" s="1423" t="s">
        <v>997</v>
      </c>
      <c r="C60" s="1422"/>
      <c r="D60" s="1422"/>
    </row>
    <row r="61" ht="15">
      <c r="A61" s="1423" t="s">
        <v>998</v>
      </c>
    </row>
    <row r="62" ht="15">
      <c r="A62" s="1423" t="s">
        <v>999</v>
      </c>
    </row>
  </sheetData>
  <mergeCells count="3">
    <mergeCell ref="A1:H1"/>
    <mergeCell ref="A3:D3"/>
    <mergeCell ref="E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  <headerFooter>
    <oddHeader>&amp;L&amp;"Times New Roman,Normál"&amp;10 1. melléklet 1,2,3,4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view="pageLayout" workbookViewId="0" topLeftCell="B49">
      <selection activeCell="B56" sqref="B56:B60"/>
    </sheetView>
  </sheetViews>
  <sheetFormatPr defaultColWidth="9.140625" defaultRowHeight="15"/>
  <cols>
    <col min="1" max="1" width="9.140625" style="377" hidden="1" customWidth="1"/>
    <col min="2" max="2" width="102.421875" style="168" customWidth="1"/>
    <col min="3" max="3" width="0.13671875" style="168" customWidth="1"/>
    <col min="4" max="6" width="8.7109375" style="168" customWidth="1"/>
    <col min="7" max="12" width="9.140625" style="1094" customWidth="1"/>
    <col min="13" max="16384" width="9.140625" style="168" customWidth="1"/>
  </cols>
  <sheetData>
    <row r="1" spans="2:6" ht="15">
      <c r="B1" s="1583" t="s">
        <v>426</v>
      </c>
      <c r="C1" s="1583"/>
      <c r="D1" s="1583"/>
      <c r="E1" s="1583"/>
      <c r="F1" s="1583"/>
    </row>
    <row r="2" spans="2:3" ht="17.25" customHeight="1" thickBot="1">
      <c r="B2" s="426"/>
      <c r="C2" s="483"/>
    </row>
    <row r="3" spans="1:12" s="382" customFormat="1" ht="30.75" customHeight="1" thickBot="1">
      <c r="A3" s="377"/>
      <c r="B3" s="1299" t="s">
        <v>3</v>
      </c>
      <c r="C3" s="1300" t="s">
        <v>384</v>
      </c>
      <c r="D3" s="1301" t="s">
        <v>4</v>
      </c>
      <c r="E3" s="1301" t="s">
        <v>893</v>
      </c>
      <c r="F3" s="1302" t="s">
        <v>928</v>
      </c>
      <c r="G3" s="377"/>
      <c r="H3" s="377"/>
      <c r="I3" s="377"/>
      <c r="J3" s="377"/>
      <c r="K3" s="377"/>
      <c r="L3" s="377"/>
    </row>
    <row r="4" spans="2:6" ht="15.75" thickBot="1">
      <c r="B4" s="1303" t="s">
        <v>76</v>
      </c>
      <c r="C4" s="1304" t="e">
        <v>#REF!</v>
      </c>
      <c r="D4" s="1304">
        <f>SUM(D5:D32)</f>
        <v>500095</v>
      </c>
      <c r="E4" s="1304">
        <f>SUM(E5:E32)</f>
        <v>713337</v>
      </c>
      <c r="F4" s="1305">
        <f>SUM(F5:F32)</f>
        <v>730293</v>
      </c>
    </row>
    <row r="5" spans="1:6" ht="15">
      <c r="A5" s="377" t="s">
        <v>227</v>
      </c>
      <c r="B5" s="1306" t="s">
        <v>385</v>
      </c>
      <c r="C5" s="1307">
        <v>0</v>
      </c>
      <c r="D5" s="1308">
        <v>134199</v>
      </c>
      <c r="E5" s="1308">
        <v>134199</v>
      </c>
      <c r="F5" s="1309">
        <v>134199</v>
      </c>
    </row>
    <row r="6" spans="1:6" ht="15">
      <c r="A6" s="377" t="s">
        <v>307</v>
      </c>
      <c r="B6" s="1306" t="s">
        <v>386</v>
      </c>
      <c r="C6" s="1307"/>
      <c r="D6" s="1307">
        <v>5000</v>
      </c>
      <c r="E6" s="1307">
        <v>5000</v>
      </c>
      <c r="F6" s="1310">
        <v>5000</v>
      </c>
    </row>
    <row r="7" spans="1:6" ht="15">
      <c r="A7" s="377" t="s">
        <v>307</v>
      </c>
      <c r="B7" s="1306" t="s">
        <v>387</v>
      </c>
      <c r="C7" s="1307"/>
      <c r="D7" s="1307">
        <v>5000</v>
      </c>
      <c r="E7" s="1307">
        <v>5000</v>
      </c>
      <c r="F7" s="1310">
        <v>5000</v>
      </c>
    </row>
    <row r="8" spans="1:6" ht="15">
      <c r="A8" s="377" t="s">
        <v>307</v>
      </c>
      <c r="B8" s="1306" t="s">
        <v>388</v>
      </c>
      <c r="C8" s="1307"/>
      <c r="D8" s="1307">
        <v>25000</v>
      </c>
      <c r="E8" s="1307">
        <v>24397</v>
      </c>
      <c r="F8" s="1310">
        <v>24397</v>
      </c>
    </row>
    <row r="9" spans="1:6" ht="15">
      <c r="A9" s="377" t="s">
        <v>307</v>
      </c>
      <c r="B9" s="1306" t="s">
        <v>389</v>
      </c>
      <c r="C9" s="1307"/>
      <c r="D9" s="1307">
        <v>8000</v>
      </c>
      <c r="E9" s="1307">
        <v>8000</v>
      </c>
      <c r="F9" s="1310">
        <v>8000</v>
      </c>
    </row>
    <row r="10" spans="1:6" ht="15">
      <c r="A10" s="377" t="s">
        <v>303</v>
      </c>
      <c r="B10" s="1306" t="s">
        <v>390</v>
      </c>
      <c r="C10" s="1307"/>
      <c r="D10" s="1307">
        <v>9154</v>
      </c>
      <c r="E10" s="1307">
        <v>9154</v>
      </c>
      <c r="F10" s="1310">
        <v>9154</v>
      </c>
    </row>
    <row r="11" spans="1:6" ht="30">
      <c r="A11" s="377" t="s">
        <v>303</v>
      </c>
      <c r="B11" s="1306" t="s">
        <v>391</v>
      </c>
      <c r="C11" s="1307"/>
      <c r="D11" s="1307">
        <v>5000</v>
      </c>
      <c r="E11" s="1307">
        <v>5000</v>
      </c>
      <c r="F11" s="1310">
        <v>2163</v>
      </c>
    </row>
    <row r="12" spans="1:6" ht="15">
      <c r="A12" s="377" t="s">
        <v>227</v>
      </c>
      <c r="B12" s="1306" t="s">
        <v>392</v>
      </c>
      <c r="C12" s="1307"/>
      <c r="D12" s="1307">
        <v>2200</v>
      </c>
      <c r="E12" s="1307">
        <v>2206</v>
      </c>
      <c r="F12" s="1310">
        <v>2206</v>
      </c>
    </row>
    <row r="13" spans="1:6" ht="15">
      <c r="A13" s="377" t="s">
        <v>227</v>
      </c>
      <c r="B13" s="1311" t="s">
        <v>393</v>
      </c>
      <c r="C13" s="1307"/>
      <c r="D13" s="1307">
        <v>381</v>
      </c>
      <c r="E13" s="1307">
        <v>381</v>
      </c>
      <c r="F13" s="1310">
        <v>0</v>
      </c>
    </row>
    <row r="14" spans="1:6" ht="15">
      <c r="A14" s="377" t="s">
        <v>218</v>
      </c>
      <c r="B14" s="1311" t="s">
        <v>394</v>
      </c>
      <c r="C14" s="1307"/>
      <c r="D14" s="1307">
        <v>5000</v>
      </c>
      <c r="E14" s="1307">
        <v>5000</v>
      </c>
      <c r="F14" s="1310">
        <v>4292</v>
      </c>
    </row>
    <row r="15" spans="1:6" ht="15">
      <c r="A15" s="377" t="s">
        <v>301</v>
      </c>
      <c r="B15" s="1312" t="s">
        <v>395</v>
      </c>
      <c r="C15" s="1313"/>
      <c r="D15" s="1314">
        <v>60000</v>
      </c>
      <c r="E15" s="1314">
        <v>60000</v>
      </c>
      <c r="F15" s="1315">
        <v>60000</v>
      </c>
    </row>
    <row r="16" spans="1:6" ht="15">
      <c r="A16" s="377" t="s">
        <v>396</v>
      </c>
      <c r="B16" s="1316" t="s">
        <v>397</v>
      </c>
      <c r="C16" s="1317">
        <v>10000</v>
      </c>
      <c r="D16" s="1308">
        <v>10000</v>
      </c>
      <c r="E16" s="1308">
        <v>10000</v>
      </c>
      <c r="F16" s="1309">
        <v>8990</v>
      </c>
    </row>
    <row r="17" spans="1:6" ht="15">
      <c r="A17" s="377" t="s">
        <v>293</v>
      </c>
      <c r="B17" s="1318" t="s">
        <v>398</v>
      </c>
      <c r="C17" s="1313">
        <v>10000</v>
      </c>
      <c r="D17" s="1308">
        <v>10000</v>
      </c>
      <c r="E17" s="1308">
        <v>10000</v>
      </c>
      <c r="F17" s="1309">
        <v>951</v>
      </c>
    </row>
    <row r="18" spans="1:6" ht="15">
      <c r="A18" s="377" t="s">
        <v>293</v>
      </c>
      <c r="B18" s="1312" t="s">
        <v>399</v>
      </c>
      <c r="C18" s="1313">
        <v>6350</v>
      </c>
      <c r="D18" s="1308">
        <v>7000</v>
      </c>
      <c r="E18" s="1308">
        <v>6912</v>
      </c>
      <c r="F18" s="1309">
        <v>6117</v>
      </c>
    </row>
    <row r="19" spans="1:6" ht="15">
      <c r="A19" s="377" t="s">
        <v>307</v>
      </c>
      <c r="B19" s="1312" t="s">
        <v>400</v>
      </c>
      <c r="C19" s="1313">
        <v>1270</v>
      </c>
      <c r="D19" s="1308">
        <v>14000</v>
      </c>
      <c r="E19" s="1308">
        <v>14000</v>
      </c>
      <c r="F19" s="1309">
        <v>14000</v>
      </c>
    </row>
    <row r="20" spans="1:6" ht="15">
      <c r="A20" s="377" t="s">
        <v>401</v>
      </c>
      <c r="B20" s="1316" t="s">
        <v>402</v>
      </c>
      <c r="C20" s="1317">
        <v>15260</v>
      </c>
      <c r="D20" s="1308">
        <v>8161</v>
      </c>
      <c r="E20" s="1308">
        <v>8161</v>
      </c>
      <c r="F20" s="1309">
        <v>8161</v>
      </c>
    </row>
    <row r="21" spans="1:6" ht="15">
      <c r="A21" s="377" t="s">
        <v>401</v>
      </c>
      <c r="B21" s="1316" t="s">
        <v>403</v>
      </c>
      <c r="C21" s="1317"/>
      <c r="D21" s="1308">
        <v>2000</v>
      </c>
      <c r="E21" s="1308">
        <v>2603</v>
      </c>
      <c r="F21" s="1309">
        <v>2603</v>
      </c>
    </row>
    <row r="22" spans="1:6" ht="15">
      <c r="A22" s="377" t="s">
        <v>301</v>
      </c>
      <c r="B22" s="1306" t="s">
        <v>404</v>
      </c>
      <c r="C22" s="1319"/>
      <c r="D22" s="1308">
        <v>40000</v>
      </c>
      <c r="E22" s="1308">
        <v>40000</v>
      </c>
      <c r="F22" s="1309">
        <v>40000</v>
      </c>
    </row>
    <row r="23" spans="1:6" ht="15">
      <c r="A23" s="377" t="s">
        <v>301</v>
      </c>
      <c r="B23" s="1306" t="s">
        <v>405</v>
      </c>
      <c r="C23" s="1319"/>
      <c r="D23" s="1308">
        <v>150000</v>
      </c>
      <c r="E23" s="1308">
        <v>150000</v>
      </c>
      <c r="F23" s="1309">
        <v>150000</v>
      </c>
    </row>
    <row r="24" spans="2:6" ht="15">
      <c r="B24" s="1306" t="s">
        <v>406</v>
      </c>
      <c r="C24" s="1319"/>
      <c r="D24" s="1308"/>
      <c r="E24" s="1308">
        <v>37218</v>
      </c>
      <c r="F24" s="1309">
        <v>37218</v>
      </c>
    </row>
    <row r="25" spans="2:6" ht="15">
      <c r="B25" s="1306" t="s">
        <v>407</v>
      </c>
      <c r="C25" s="1319"/>
      <c r="D25" s="1308"/>
      <c r="E25" s="1308">
        <v>38545</v>
      </c>
      <c r="F25" s="1309">
        <v>37574</v>
      </c>
    </row>
    <row r="26" spans="2:6" ht="15">
      <c r="B26" s="1306" t="s">
        <v>408</v>
      </c>
      <c r="C26" s="1319"/>
      <c r="D26" s="1308"/>
      <c r="E26" s="1308">
        <v>89187</v>
      </c>
      <c r="F26" s="1309">
        <v>89187</v>
      </c>
    </row>
    <row r="27" spans="2:6" ht="15">
      <c r="B27" s="1306" t="s">
        <v>857</v>
      </c>
      <c r="C27" s="1319"/>
      <c r="D27" s="1308"/>
      <c r="E27" s="1308">
        <v>45000</v>
      </c>
      <c r="F27" s="1309">
        <v>45000</v>
      </c>
    </row>
    <row r="28" spans="2:6" ht="16.5" customHeight="1">
      <c r="B28" s="1306" t="s">
        <v>858</v>
      </c>
      <c r="C28" s="1319"/>
      <c r="D28" s="1308"/>
      <c r="E28" s="1308">
        <v>174</v>
      </c>
      <c r="F28" s="1309">
        <v>174</v>
      </c>
    </row>
    <row r="29" spans="2:6" ht="16.5" customHeight="1">
      <c r="B29" s="1320" t="s">
        <v>926</v>
      </c>
      <c r="C29" s="1319"/>
      <c r="D29" s="1308"/>
      <c r="E29" s="1308"/>
      <c r="F29" s="1309">
        <v>7747</v>
      </c>
    </row>
    <row r="30" spans="2:6" ht="16.5" customHeight="1">
      <c r="B30" s="1320" t="s">
        <v>927</v>
      </c>
      <c r="C30" s="1319"/>
      <c r="D30" s="1308"/>
      <c r="E30" s="1308"/>
      <c r="F30" s="1309">
        <v>13000</v>
      </c>
    </row>
    <row r="31" spans="2:6" ht="15">
      <c r="B31" s="1306" t="s">
        <v>912</v>
      </c>
      <c r="C31" s="1319"/>
      <c r="D31" s="1308"/>
      <c r="E31" s="1308">
        <v>1000</v>
      </c>
      <c r="F31" s="1309">
        <v>12960</v>
      </c>
    </row>
    <row r="32" spans="2:6" ht="15">
      <c r="B32" s="1306" t="s">
        <v>913</v>
      </c>
      <c r="C32" s="1319"/>
      <c r="D32" s="1308"/>
      <c r="E32" s="1308">
        <v>2200</v>
      </c>
      <c r="F32" s="1309">
        <v>2200</v>
      </c>
    </row>
    <row r="33" spans="2:6" ht="15.75" thickBot="1">
      <c r="B33" s="1321"/>
      <c r="C33" s="1322"/>
      <c r="D33" s="1323"/>
      <c r="E33" s="1323"/>
      <c r="F33" s="1324"/>
    </row>
    <row r="34" spans="2:6" ht="15.75" thickBot="1">
      <c r="B34" s="1303" t="s">
        <v>340</v>
      </c>
      <c r="C34" s="1304" t="e">
        <v>#REF!</v>
      </c>
      <c r="D34" s="1304">
        <f>SUM(D35:D52)</f>
        <v>29071</v>
      </c>
      <c r="E34" s="1304">
        <f aca="true" t="shared" si="0" ref="E34:F34">SUM(E35:E52)</f>
        <v>23828</v>
      </c>
      <c r="F34" s="1305">
        <f t="shared" si="0"/>
        <v>23642</v>
      </c>
    </row>
    <row r="35" spans="2:6" ht="15">
      <c r="B35" s="1325" t="s">
        <v>409</v>
      </c>
      <c r="C35" s="1326"/>
      <c r="D35" s="1327">
        <v>250</v>
      </c>
      <c r="E35" s="1327">
        <v>0</v>
      </c>
      <c r="F35" s="1328">
        <v>0</v>
      </c>
    </row>
    <row r="36" spans="2:6" ht="15">
      <c r="B36" s="1306" t="s">
        <v>410</v>
      </c>
      <c r="C36" s="1329"/>
      <c r="D36" s="1307">
        <v>6844</v>
      </c>
      <c r="E36" s="1307">
        <v>6844</v>
      </c>
      <c r="F36" s="1310">
        <v>6844</v>
      </c>
    </row>
    <row r="37" spans="2:6" ht="15">
      <c r="B37" s="1306" t="s">
        <v>411</v>
      </c>
      <c r="C37" s="1329"/>
      <c r="D37" s="1307">
        <v>300</v>
      </c>
      <c r="E37" s="1307">
        <v>300</v>
      </c>
      <c r="F37" s="1310">
        <v>300</v>
      </c>
    </row>
    <row r="38" spans="2:6" ht="15">
      <c r="B38" s="1306" t="s">
        <v>412</v>
      </c>
      <c r="C38" s="1329"/>
      <c r="D38" s="1307">
        <v>500</v>
      </c>
      <c r="E38" s="1307">
        <v>500</v>
      </c>
      <c r="F38" s="1310">
        <v>500</v>
      </c>
    </row>
    <row r="39" spans="2:6" ht="15">
      <c r="B39" s="1306" t="s">
        <v>413</v>
      </c>
      <c r="C39" s="1329"/>
      <c r="D39" s="1307">
        <v>1000</v>
      </c>
      <c r="E39" s="1307">
        <v>500</v>
      </c>
      <c r="F39" s="1310">
        <v>500</v>
      </c>
    </row>
    <row r="40" spans="2:6" ht="15">
      <c r="B40" s="1306" t="s">
        <v>414</v>
      </c>
      <c r="C40" s="1329"/>
      <c r="D40" s="1307">
        <v>500</v>
      </c>
      <c r="E40" s="1307">
        <v>175</v>
      </c>
      <c r="F40" s="1310">
        <v>175</v>
      </c>
    </row>
    <row r="41" spans="2:6" ht="15">
      <c r="B41" s="1306" t="s">
        <v>415</v>
      </c>
      <c r="C41" s="1329"/>
      <c r="D41" s="1307">
        <v>100</v>
      </c>
      <c r="E41" s="1307">
        <v>0</v>
      </c>
      <c r="F41" s="1310">
        <v>0</v>
      </c>
    </row>
    <row r="42" spans="2:6" ht="15">
      <c r="B42" s="1306" t="s">
        <v>416</v>
      </c>
      <c r="C42" s="1329"/>
      <c r="D42" s="1307">
        <v>500</v>
      </c>
      <c r="E42" s="1307">
        <v>0</v>
      </c>
      <c r="F42" s="1310">
        <v>0</v>
      </c>
    </row>
    <row r="43" spans="2:6" ht="15">
      <c r="B43" s="1306" t="s">
        <v>417</v>
      </c>
      <c r="C43" s="1329"/>
      <c r="D43" s="1307">
        <v>400</v>
      </c>
      <c r="E43" s="1307">
        <v>400</v>
      </c>
      <c r="F43" s="1310">
        <v>400</v>
      </c>
    </row>
    <row r="44" spans="2:6" ht="15">
      <c r="B44" s="1306" t="s">
        <v>418</v>
      </c>
      <c r="C44" s="1329"/>
      <c r="D44" s="1307">
        <v>677</v>
      </c>
      <c r="E44" s="1307">
        <v>109</v>
      </c>
      <c r="F44" s="1310">
        <v>109</v>
      </c>
    </row>
    <row r="45" spans="2:6" ht="15">
      <c r="B45" s="1306" t="s">
        <v>882</v>
      </c>
      <c r="C45" s="1329"/>
      <c r="D45" s="1307">
        <v>4200</v>
      </c>
      <c r="E45" s="1307">
        <v>1200</v>
      </c>
      <c r="F45" s="1310">
        <v>1200</v>
      </c>
    </row>
    <row r="46" spans="2:6" ht="30">
      <c r="B46" s="1306" t="s">
        <v>419</v>
      </c>
      <c r="C46" s="1329"/>
      <c r="D46" s="1307">
        <v>2000</v>
      </c>
      <c r="E46" s="1307">
        <v>2000</v>
      </c>
      <c r="F46" s="1310">
        <v>2000</v>
      </c>
    </row>
    <row r="47" spans="2:6" ht="15">
      <c r="B47" s="1306" t="s">
        <v>420</v>
      </c>
      <c r="C47" s="1329"/>
      <c r="D47" s="1307">
        <v>2000</v>
      </c>
      <c r="E47" s="1307">
        <v>2000</v>
      </c>
      <c r="F47" s="1310">
        <v>2000</v>
      </c>
    </row>
    <row r="48" spans="2:6" ht="15">
      <c r="B48" s="1306" t="s">
        <v>421</v>
      </c>
      <c r="C48" s="1329"/>
      <c r="D48" s="1307">
        <v>500</v>
      </c>
      <c r="E48" s="1307">
        <v>500</v>
      </c>
      <c r="F48" s="1310">
        <v>500</v>
      </c>
    </row>
    <row r="49" spans="2:6" ht="30">
      <c r="B49" s="1306" t="s">
        <v>422</v>
      </c>
      <c r="C49" s="1329"/>
      <c r="D49" s="1307">
        <v>1800</v>
      </c>
      <c r="E49" s="1307">
        <v>1800</v>
      </c>
      <c r="F49" s="1310">
        <v>1800</v>
      </c>
    </row>
    <row r="50" spans="2:6" ht="30">
      <c r="B50" s="1306" t="s">
        <v>423</v>
      </c>
      <c r="C50" s="1329"/>
      <c r="D50" s="1307">
        <v>5000</v>
      </c>
      <c r="E50" s="1307">
        <v>5000</v>
      </c>
      <c r="F50" s="1310">
        <v>5000</v>
      </c>
    </row>
    <row r="51" spans="2:6" ht="15">
      <c r="B51" s="1306" t="s">
        <v>424</v>
      </c>
      <c r="C51" s="1329"/>
      <c r="D51" s="1307">
        <v>500</v>
      </c>
      <c r="E51" s="1307">
        <v>500</v>
      </c>
      <c r="F51" s="1310">
        <v>500</v>
      </c>
    </row>
    <row r="52" spans="2:6" ht="15">
      <c r="B52" s="1306" t="s">
        <v>425</v>
      </c>
      <c r="C52" s="1329"/>
      <c r="D52" s="1307">
        <v>2000</v>
      </c>
      <c r="E52" s="1307">
        <v>2000</v>
      </c>
      <c r="F52" s="1310">
        <v>1814</v>
      </c>
    </row>
    <row r="53" spans="2:6" ht="15.75" thickBot="1">
      <c r="B53" s="1321"/>
      <c r="C53" s="1330"/>
      <c r="D53" s="1331"/>
      <c r="E53" s="1331"/>
      <c r="F53" s="1332"/>
    </row>
    <row r="54" spans="2:6" ht="15.75" thickBot="1">
      <c r="B54" s="1303" t="s">
        <v>70</v>
      </c>
      <c r="C54" s="1304" t="e">
        <v>#REF!</v>
      </c>
      <c r="D54" s="1304">
        <f>D4+D34</f>
        <v>529166</v>
      </c>
      <c r="E54" s="1304">
        <f aca="true" t="shared" si="1" ref="E54:F54">E4+E34</f>
        <v>737165</v>
      </c>
      <c r="F54" s="1305">
        <f t="shared" si="1"/>
        <v>753935</v>
      </c>
    </row>
    <row r="56" ht="15">
      <c r="B56" s="1423" t="s">
        <v>995</v>
      </c>
    </row>
    <row r="57" ht="15">
      <c r="B57" s="1423" t="s">
        <v>996</v>
      </c>
    </row>
    <row r="58" ht="15">
      <c r="B58" s="1423" t="s">
        <v>997</v>
      </c>
    </row>
    <row r="59" ht="15">
      <c r="B59" s="1423" t="s">
        <v>998</v>
      </c>
    </row>
    <row r="60" ht="15">
      <c r="B60" s="1423" t="s">
        <v>999</v>
      </c>
    </row>
    <row r="64" ht="6.75" customHeight="1"/>
  </sheetData>
  <mergeCells count="1">
    <mergeCell ref="B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&amp;L&amp;"Times New Roman,Normál"&amp;8 8. melléklet 1,2,3,4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view="pageLayout" workbookViewId="0" topLeftCell="A1">
      <selection activeCell="A35" sqref="A35"/>
    </sheetView>
  </sheetViews>
  <sheetFormatPr defaultColWidth="9.140625" defaultRowHeight="15"/>
  <cols>
    <col min="1" max="1" width="85.57421875" style="168" bestFit="1" customWidth="1"/>
    <col min="2" max="4" width="14.421875" style="168" customWidth="1"/>
    <col min="5" max="8" width="9.140625" style="1087" customWidth="1"/>
    <col min="9" max="16384" width="9.140625" style="384" customWidth="1"/>
  </cols>
  <sheetData>
    <row r="2" spans="1:4" ht="15">
      <c r="A2" s="1584" t="s">
        <v>427</v>
      </c>
      <c r="B2" s="1584"/>
      <c r="C2" s="1584"/>
      <c r="D2" s="1584"/>
    </row>
    <row r="3" spans="1:4" ht="15.75" thickBot="1">
      <c r="A3" s="385"/>
      <c r="B3" s="385"/>
      <c r="C3" s="385"/>
      <c r="D3" s="385"/>
    </row>
    <row r="4" spans="1:8" s="386" customFormat="1" ht="15.75" thickBot="1">
      <c r="A4" s="405" t="s">
        <v>3</v>
      </c>
      <c r="B4" s="400" t="s">
        <v>4</v>
      </c>
      <c r="C4" s="736" t="s">
        <v>892</v>
      </c>
      <c r="D4" s="399" t="s">
        <v>931</v>
      </c>
      <c r="E4" s="1088"/>
      <c r="F4" s="1088"/>
      <c r="G4" s="1088"/>
      <c r="H4" s="1088"/>
    </row>
    <row r="5" spans="1:4" ht="15">
      <c r="A5" s="406" t="s">
        <v>428</v>
      </c>
      <c r="B5" s="401">
        <v>300</v>
      </c>
      <c r="C5" s="397">
        <v>300</v>
      </c>
      <c r="D5" s="398">
        <v>300</v>
      </c>
    </row>
    <row r="6" spans="1:4" ht="15">
      <c r="A6" s="407" t="s">
        <v>429</v>
      </c>
      <c r="B6" s="402">
        <v>12000</v>
      </c>
      <c r="C6" s="391">
        <v>10880</v>
      </c>
      <c r="D6" s="394">
        <v>9246</v>
      </c>
    </row>
    <row r="7" spans="1:4" ht="15">
      <c r="A7" s="380" t="s">
        <v>430</v>
      </c>
      <c r="B7" s="402">
        <v>200</v>
      </c>
      <c r="C7" s="391">
        <v>200</v>
      </c>
      <c r="D7" s="394">
        <v>200</v>
      </c>
    </row>
    <row r="8" spans="1:4" ht="15">
      <c r="A8" s="380" t="s">
        <v>431</v>
      </c>
      <c r="B8" s="402">
        <v>2500</v>
      </c>
      <c r="C8" s="391">
        <v>2500</v>
      </c>
      <c r="D8" s="394">
        <v>2500</v>
      </c>
    </row>
    <row r="9" spans="1:4" ht="15">
      <c r="A9" s="380" t="s">
        <v>432</v>
      </c>
      <c r="B9" s="402">
        <v>3400</v>
      </c>
      <c r="C9" s="391">
        <v>3400</v>
      </c>
      <c r="D9" s="394">
        <v>3400</v>
      </c>
    </row>
    <row r="10" spans="1:4" ht="15">
      <c r="A10" s="380" t="s">
        <v>433</v>
      </c>
      <c r="B10" s="402">
        <v>10000</v>
      </c>
      <c r="C10" s="391">
        <v>10000</v>
      </c>
      <c r="D10" s="394">
        <v>10000</v>
      </c>
    </row>
    <row r="11" spans="1:4" ht="15">
      <c r="A11" s="380" t="s">
        <v>434</v>
      </c>
      <c r="B11" s="402">
        <v>2500</v>
      </c>
      <c r="C11" s="391">
        <v>2500</v>
      </c>
      <c r="D11" s="394">
        <v>2500</v>
      </c>
    </row>
    <row r="12" spans="1:4" ht="15">
      <c r="A12" s="380" t="s">
        <v>897</v>
      </c>
      <c r="B12" s="402"/>
      <c r="C12" s="391">
        <v>1734</v>
      </c>
      <c r="D12" s="394">
        <v>3282</v>
      </c>
    </row>
    <row r="13" spans="1:4" ht="15">
      <c r="A13" s="408" t="s">
        <v>435</v>
      </c>
      <c r="B13" s="403">
        <f>SUM(B5:B12)</f>
        <v>30900</v>
      </c>
      <c r="C13" s="392">
        <f aca="true" t="shared" si="0" ref="C13">SUM(C5:C12)</f>
        <v>31514</v>
      </c>
      <c r="D13" s="395">
        <f aca="true" t="shared" si="1" ref="D13">SUM(D5:D12)</f>
        <v>31428</v>
      </c>
    </row>
    <row r="14" spans="1:4" ht="15">
      <c r="A14" s="409"/>
      <c r="B14" s="404"/>
      <c r="C14" s="393"/>
      <c r="D14" s="396"/>
    </row>
    <row r="15" spans="1:4" ht="15">
      <c r="A15" s="380" t="s">
        <v>436</v>
      </c>
      <c r="B15" s="402">
        <v>2000</v>
      </c>
      <c r="C15" s="391">
        <v>2000</v>
      </c>
      <c r="D15" s="394">
        <v>2337</v>
      </c>
    </row>
    <row r="16" spans="1:8" s="169" customFormat="1" ht="15">
      <c r="A16" s="380" t="s">
        <v>437</v>
      </c>
      <c r="B16" s="402">
        <v>29000</v>
      </c>
      <c r="C16" s="391">
        <v>29000</v>
      </c>
      <c r="D16" s="394">
        <v>29296</v>
      </c>
      <c r="E16" s="1089"/>
      <c r="F16" s="1089"/>
      <c r="G16" s="1089"/>
      <c r="H16" s="1089"/>
    </row>
    <row r="17" spans="1:8" s="169" customFormat="1" ht="15">
      <c r="A17" s="1090" t="s">
        <v>936</v>
      </c>
      <c r="B17" s="1096"/>
      <c r="C17" s="1097"/>
      <c r="D17" s="1098">
        <v>7272</v>
      </c>
      <c r="E17" s="1089"/>
      <c r="F17" s="1089"/>
      <c r="G17" s="1089"/>
      <c r="H17" s="1089"/>
    </row>
    <row r="18" spans="1:4" ht="15">
      <c r="A18" s="380" t="s">
        <v>438</v>
      </c>
      <c r="B18" s="402">
        <v>6000</v>
      </c>
      <c r="C18" s="391">
        <v>0</v>
      </c>
      <c r="D18" s="394">
        <v>0</v>
      </c>
    </row>
    <row r="19" spans="1:4" ht="15">
      <c r="A19" s="408" t="s">
        <v>439</v>
      </c>
      <c r="B19" s="403">
        <f>SUM(B15:B18)</f>
        <v>37000</v>
      </c>
      <c r="C19" s="392">
        <f aca="true" t="shared" si="2" ref="C19:D19">SUM(C15:C18)</f>
        <v>31000</v>
      </c>
      <c r="D19" s="395">
        <f t="shared" si="2"/>
        <v>38905</v>
      </c>
    </row>
    <row r="20" spans="1:4" ht="15.75" thickBot="1">
      <c r="A20" s="410"/>
      <c r="B20" s="411"/>
      <c r="C20" s="412"/>
      <c r="D20" s="413"/>
    </row>
    <row r="21" spans="1:4" ht="15.75" thickBot="1">
      <c r="A21" s="414" t="s">
        <v>440</v>
      </c>
      <c r="B21" s="415">
        <f>B13+B19</f>
        <v>67900</v>
      </c>
      <c r="C21" s="416">
        <f aca="true" t="shared" si="3" ref="C21:D21">C13+C19</f>
        <v>62514</v>
      </c>
      <c r="D21" s="417">
        <f t="shared" si="3"/>
        <v>70333</v>
      </c>
    </row>
    <row r="22" spans="1:4" ht="15.75" customHeight="1">
      <c r="A22" s="390"/>
      <c r="B22" s="387"/>
      <c r="C22" s="387"/>
      <c r="D22" s="387"/>
    </row>
    <row r="23" spans="1:8" s="169" customFormat="1" ht="14.25">
      <c r="A23" s="388"/>
      <c r="B23" s="389"/>
      <c r="C23" s="389"/>
      <c r="D23" s="389"/>
      <c r="E23" s="1089"/>
      <c r="F23" s="1089"/>
      <c r="G23" s="1089"/>
      <c r="H23" s="1089"/>
    </row>
    <row r="24" ht="15">
      <c r="A24" s="1423" t="s">
        <v>995</v>
      </c>
    </row>
    <row r="25" spans="1:8" s="169" customFormat="1" ht="14.25">
      <c r="A25" s="1423" t="s">
        <v>996</v>
      </c>
      <c r="E25" s="1089"/>
      <c r="F25" s="1089"/>
      <c r="G25" s="1089"/>
      <c r="H25" s="1089"/>
    </row>
    <row r="26" ht="15">
      <c r="A26" s="1423" t="s">
        <v>997</v>
      </c>
    </row>
    <row r="27" ht="15">
      <c r="A27" s="1423" t="s">
        <v>998</v>
      </c>
    </row>
    <row r="28" ht="15">
      <c r="A28" s="1423" t="s">
        <v>999</v>
      </c>
    </row>
  </sheetData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&amp;L&amp;"Times New Roman,Normál"&amp;10 9. melléklet 1,2,3,4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0"/>
  <sheetViews>
    <sheetView view="pageLayout" workbookViewId="0" topLeftCell="A82">
      <selection activeCell="A96" sqref="A96:A100"/>
    </sheetView>
  </sheetViews>
  <sheetFormatPr defaultColWidth="9.140625" defaultRowHeight="15" zeroHeight="1"/>
  <cols>
    <col min="1" max="1" width="101.28125" style="426" customWidth="1"/>
    <col min="2" max="3" width="14.421875" style="424" customWidth="1"/>
    <col min="4" max="4" width="14.421875" style="418" customWidth="1"/>
    <col min="5" max="9" width="9.140625" style="1068" customWidth="1"/>
    <col min="10" max="16384" width="9.140625" style="418" customWidth="1"/>
  </cols>
  <sheetData>
    <row r="1" spans="1:4" ht="15">
      <c r="A1" s="1585" t="s">
        <v>441</v>
      </c>
      <c r="B1" s="1585"/>
      <c r="C1" s="1585"/>
      <c r="D1" s="1585"/>
    </row>
    <row r="2" spans="1:3" ht="15" customHeight="1" thickBot="1">
      <c r="A2" s="419"/>
      <c r="B2" s="419"/>
      <c r="C2" s="419"/>
    </row>
    <row r="3" spans="1:9" s="420" customFormat="1" ht="13.5" customHeight="1" thickBot="1">
      <c r="A3" s="446" t="s">
        <v>3</v>
      </c>
      <c r="B3" s="440" t="s">
        <v>4</v>
      </c>
      <c r="C3" s="438" t="s">
        <v>895</v>
      </c>
      <c r="D3" s="439" t="s">
        <v>931</v>
      </c>
      <c r="E3" s="1069"/>
      <c r="F3" s="1069"/>
      <c r="G3" s="1069"/>
      <c r="H3" s="1069"/>
      <c r="I3" s="1069"/>
    </row>
    <row r="4" spans="1:4" ht="17.25" customHeight="1">
      <c r="A4" s="447" t="s">
        <v>442</v>
      </c>
      <c r="B4" s="441"/>
      <c r="C4" s="436"/>
      <c r="D4" s="437"/>
    </row>
    <row r="5" spans="1:4" ht="15">
      <c r="A5" s="448"/>
      <c r="B5" s="442"/>
      <c r="C5" s="428"/>
      <c r="D5" s="432"/>
    </row>
    <row r="6" spans="1:9" s="473" customFormat="1" ht="12" customHeight="1">
      <c r="A6" s="455" t="s">
        <v>443</v>
      </c>
      <c r="B6" s="470">
        <f>SUM(B7:B12)</f>
        <v>350780</v>
      </c>
      <c r="C6" s="471">
        <f aca="true" t="shared" si="0" ref="C6:D6">SUM(C7:C12)</f>
        <v>434893</v>
      </c>
      <c r="D6" s="472">
        <f t="shared" si="0"/>
        <v>441446</v>
      </c>
      <c r="E6" s="1070"/>
      <c r="F6" s="1070"/>
      <c r="G6" s="1070"/>
      <c r="H6" s="1070"/>
      <c r="I6" s="1070"/>
    </row>
    <row r="7" spans="1:9" s="421" customFormat="1" ht="15">
      <c r="A7" s="448" t="s">
        <v>444</v>
      </c>
      <c r="B7" s="442">
        <v>348780</v>
      </c>
      <c r="C7" s="428">
        <v>432075</v>
      </c>
      <c r="D7" s="432">
        <v>438351</v>
      </c>
      <c r="E7" s="1068"/>
      <c r="F7" s="1068"/>
      <c r="G7" s="1068"/>
      <c r="H7" s="1071"/>
      <c r="I7" s="1071"/>
    </row>
    <row r="8" spans="1:9" s="421" customFormat="1" ht="15">
      <c r="A8" s="1004" t="s">
        <v>445</v>
      </c>
      <c r="B8" s="1005">
        <v>2000</v>
      </c>
      <c r="C8" s="1006">
        <v>2000</v>
      </c>
      <c r="D8" s="1007">
        <v>2000</v>
      </c>
      <c r="E8" s="1071"/>
      <c r="F8" s="1071"/>
      <c r="G8" s="1071"/>
      <c r="H8" s="1071"/>
      <c r="I8" s="1071"/>
    </row>
    <row r="9" spans="1:9" s="421" customFormat="1" ht="15">
      <c r="A9" s="1004" t="s">
        <v>828</v>
      </c>
      <c r="B9" s="1005"/>
      <c r="C9" s="1006">
        <v>350</v>
      </c>
      <c r="D9" s="1007">
        <v>350</v>
      </c>
      <c r="E9" s="1071"/>
      <c r="F9" s="1071"/>
      <c r="G9" s="1071"/>
      <c r="H9" s="1071"/>
      <c r="I9" s="1071"/>
    </row>
    <row r="10" spans="1:9" s="421" customFormat="1" ht="15">
      <c r="A10" s="1082" t="s">
        <v>921</v>
      </c>
      <c r="B10" s="1083"/>
      <c r="C10" s="1084"/>
      <c r="D10" s="1085">
        <v>277</v>
      </c>
      <c r="E10" s="1071"/>
      <c r="F10" s="1071"/>
      <c r="G10" s="1071"/>
      <c r="H10" s="1071"/>
      <c r="I10" s="1071"/>
    </row>
    <row r="11" spans="1:4" ht="15">
      <c r="A11" s="450" t="s">
        <v>830</v>
      </c>
      <c r="B11" s="442"/>
      <c r="C11" s="428">
        <v>200</v>
      </c>
      <c r="D11" s="432">
        <v>200</v>
      </c>
    </row>
    <row r="12" spans="1:4" ht="15">
      <c r="A12" s="450" t="s">
        <v>903</v>
      </c>
      <c r="B12" s="442"/>
      <c r="C12" s="428">
        <v>268</v>
      </c>
      <c r="D12" s="432">
        <v>268</v>
      </c>
    </row>
    <row r="13" spans="1:31" ht="12.75" customHeight="1">
      <c r="A13" s="448"/>
      <c r="B13" s="442"/>
      <c r="C13" s="428"/>
      <c r="D13" s="432"/>
      <c r="E13" s="1075"/>
      <c r="F13" s="1075"/>
      <c r="G13" s="1075"/>
      <c r="H13" s="1075"/>
      <c r="I13" s="1075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</row>
    <row r="14" spans="1:31" s="473" customFormat="1" ht="12.75" customHeight="1">
      <c r="A14" s="455" t="s">
        <v>446</v>
      </c>
      <c r="B14" s="470">
        <f>SUM(B15:B54)</f>
        <v>565372</v>
      </c>
      <c r="C14" s="471">
        <f>SUM(C15:C54)</f>
        <v>623153</v>
      </c>
      <c r="D14" s="472">
        <f>SUM(D15:D54)</f>
        <v>644043</v>
      </c>
      <c r="E14" s="1076"/>
      <c r="F14" s="1076"/>
      <c r="G14" s="1076"/>
      <c r="H14" s="1076"/>
      <c r="I14" s="1076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</row>
    <row r="15" spans="1:31" ht="15.75" customHeight="1">
      <c r="A15" s="450" t="s">
        <v>447</v>
      </c>
      <c r="B15" s="442">
        <v>15000</v>
      </c>
      <c r="C15" s="428">
        <v>15000</v>
      </c>
      <c r="D15" s="432">
        <v>15000</v>
      </c>
      <c r="E15" s="1075"/>
      <c r="F15" s="1075"/>
      <c r="G15" s="1075"/>
      <c r="H15" s="1075"/>
      <c r="I15" s="1075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</row>
    <row r="16" spans="1:31" ht="15.75" customHeight="1">
      <c r="A16" s="448" t="s">
        <v>448</v>
      </c>
      <c r="B16" s="442">
        <v>7000</v>
      </c>
      <c r="C16" s="428">
        <v>7000</v>
      </c>
      <c r="D16" s="432">
        <v>7000</v>
      </c>
      <c r="E16" s="1075"/>
      <c r="F16" s="1075"/>
      <c r="G16" s="1075"/>
      <c r="H16" s="1075"/>
      <c r="I16" s="1075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</row>
    <row r="17" spans="1:31" ht="16.5" customHeight="1">
      <c r="A17" s="448" t="s">
        <v>449</v>
      </c>
      <c r="B17" s="442">
        <v>233133</v>
      </c>
      <c r="C17" s="428">
        <v>226083</v>
      </c>
      <c r="D17" s="432">
        <v>226083</v>
      </c>
      <c r="E17" s="1075"/>
      <c r="F17" s="1075"/>
      <c r="G17" s="1075"/>
      <c r="H17" s="1075"/>
      <c r="I17" s="1075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</row>
    <row r="18" spans="1:31" ht="15" customHeight="1">
      <c r="A18" s="448" t="s">
        <v>450</v>
      </c>
      <c r="B18" s="442">
        <v>158795</v>
      </c>
      <c r="C18" s="428">
        <v>158795</v>
      </c>
      <c r="D18" s="432">
        <v>174544</v>
      </c>
      <c r="E18" s="1075"/>
      <c r="F18" s="1075"/>
      <c r="G18" s="1075"/>
      <c r="H18" s="1075"/>
      <c r="I18" s="1075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</row>
    <row r="19" spans="1:31" ht="15">
      <c r="A19" s="450" t="s">
        <v>451</v>
      </c>
      <c r="B19" s="442">
        <v>64169</v>
      </c>
      <c r="C19" s="428">
        <v>64169</v>
      </c>
      <c r="D19" s="432">
        <v>64169</v>
      </c>
      <c r="E19" s="1075"/>
      <c r="F19" s="1075"/>
      <c r="G19" s="1075"/>
      <c r="H19" s="1075"/>
      <c r="I19" s="1075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</row>
    <row r="20" spans="1:31" ht="15">
      <c r="A20" s="450" t="s">
        <v>452</v>
      </c>
      <c r="B20" s="442">
        <v>45000</v>
      </c>
      <c r="C20" s="428">
        <v>45000</v>
      </c>
      <c r="D20" s="432">
        <v>45000</v>
      </c>
      <c r="E20" s="1075"/>
      <c r="F20" s="1075"/>
      <c r="G20" s="1075"/>
      <c r="H20" s="1075"/>
      <c r="I20" s="1075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</row>
    <row r="21" spans="1:31" s="423" customFormat="1" ht="15">
      <c r="A21" s="450" t="s">
        <v>453</v>
      </c>
      <c r="B21" s="442">
        <v>4000</v>
      </c>
      <c r="C21" s="428">
        <v>3740</v>
      </c>
      <c r="D21" s="432">
        <v>3440</v>
      </c>
      <c r="E21" s="1075"/>
      <c r="F21" s="1075"/>
      <c r="G21" s="1075"/>
      <c r="H21" s="1075"/>
      <c r="I21" s="1075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</row>
    <row r="22" spans="1:31" ht="15">
      <c r="A22" s="448" t="s">
        <v>454</v>
      </c>
      <c r="B22" s="442">
        <v>1775</v>
      </c>
      <c r="C22" s="428">
        <v>1634</v>
      </c>
      <c r="D22" s="432">
        <v>1634</v>
      </c>
      <c r="E22" s="1075"/>
      <c r="F22" s="1075"/>
      <c r="G22" s="1075"/>
      <c r="H22" s="1075"/>
      <c r="I22" s="1075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</row>
    <row r="23" spans="1:4" ht="15">
      <c r="A23" s="448" t="s">
        <v>455</v>
      </c>
      <c r="B23" s="442">
        <v>14000</v>
      </c>
      <c r="C23" s="428">
        <v>38599</v>
      </c>
      <c r="D23" s="432">
        <v>38599</v>
      </c>
    </row>
    <row r="24" spans="1:4" ht="15">
      <c r="A24" s="448" t="s">
        <v>456</v>
      </c>
      <c r="B24" s="442">
        <v>15000</v>
      </c>
      <c r="C24" s="428">
        <v>24640</v>
      </c>
      <c r="D24" s="432">
        <v>24640</v>
      </c>
    </row>
    <row r="25" spans="1:4" ht="15">
      <c r="A25" s="448" t="s">
        <v>457</v>
      </c>
      <c r="B25" s="442">
        <v>1500</v>
      </c>
      <c r="C25" s="428">
        <v>1500</v>
      </c>
      <c r="D25" s="432">
        <v>1500</v>
      </c>
    </row>
    <row r="26" spans="1:9" s="422" customFormat="1" ht="15">
      <c r="A26" s="451" t="s">
        <v>458</v>
      </c>
      <c r="B26" s="443">
        <v>6000</v>
      </c>
      <c r="C26" s="429">
        <v>6000</v>
      </c>
      <c r="D26" s="433">
        <v>10733</v>
      </c>
      <c r="E26" s="1075"/>
      <c r="F26" s="1075"/>
      <c r="G26" s="1075"/>
      <c r="H26" s="1075"/>
      <c r="I26" s="1075"/>
    </row>
    <row r="27" spans="1:9" s="422" customFormat="1" ht="15">
      <c r="A27" s="451" t="s">
        <v>806</v>
      </c>
      <c r="B27" s="443"/>
      <c r="C27" s="429">
        <v>150</v>
      </c>
      <c r="D27" s="433">
        <v>150</v>
      </c>
      <c r="E27" s="1075"/>
      <c r="F27" s="1075"/>
      <c r="G27" s="1075"/>
      <c r="H27" s="1075"/>
      <c r="I27" s="1075"/>
    </row>
    <row r="28" spans="1:9" s="422" customFormat="1" ht="15">
      <c r="A28" s="451" t="s">
        <v>807</v>
      </c>
      <c r="B28" s="443"/>
      <c r="C28" s="429">
        <v>170</v>
      </c>
      <c r="D28" s="433">
        <v>170</v>
      </c>
      <c r="E28" s="1075"/>
      <c r="F28" s="1075"/>
      <c r="G28" s="1075"/>
      <c r="H28" s="1075"/>
      <c r="I28" s="1075"/>
    </row>
    <row r="29" spans="1:9" s="422" customFormat="1" ht="15">
      <c r="A29" s="451" t="s">
        <v>808</v>
      </c>
      <c r="B29" s="443"/>
      <c r="C29" s="429">
        <v>50</v>
      </c>
      <c r="D29" s="433">
        <v>50</v>
      </c>
      <c r="E29" s="1075"/>
      <c r="F29" s="1075"/>
      <c r="G29" s="1075"/>
      <c r="H29" s="1075"/>
      <c r="I29" s="1075"/>
    </row>
    <row r="30" spans="1:9" s="422" customFormat="1" ht="15">
      <c r="A30" s="451" t="s">
        <v>809</v>
      </c>
      <c r="B30" s="443"/>
      <c r="C30" s="429">
        <v>250</v>
      </c>
      <c r="D30" s="433">
        <v>250</v>
      </c>
      <c r="E30" s="1075"/>
      <c r="F30" s="1075"/>
      <c r="G30" s="1075"/>
      <c r="H30" s="1075"/>
      <c r="I30" s="1075"/>
    </row>
    <row r="31" spans="1:9" s="422" customFormat="1" ht="15">
      <c r="A31" s="451" t="s">
        <v>810</v>
      </c>
      <c r="B31" s="443"/>
      <c r="C31" s="429">
        <v>300</v>
      </c>
      <c r="D31" s="433">
        <v>300</v>
      </c>
      <c r="E31" s="1075"/>
      <c r="F31" s="1075"/>
      <c r="G31" s="1075"/>
      <c r="H31" s="1075"/>
      <c r="I31" s="1075"/>
    </row>
    <row r="32" spans="1:9" s="422" customFormat="1" ht="15">
      <c r="A32" s="999" t="s">
        <v>459</v>
      </c>
      <c r="B32" s="1000"/>
      <c r="C32" s="1001">
        <v>100</v>
      </c>
      <c r="D32" s="1002">
        <v>100</v>
      </c>
      <c r="E32" s="1075"/>
      <c r="F32" s="1075"/>
      <c r="G32" s="1075"/>
      <c r="H32" s="1075"/>
      <c r="I32" s="1075"/>
    </row>
    <row r="33" spans="1:9" s="422" customFormat="1" ht="15">
      <c r="A33" s="999" t="s">
        <v>811</v>
      </c>
      <c r="B33" s="1000"/>
      <c r="C33" s="1001">
        <v>8500</v>
      </c>
      <c r="D33" s="1002">
        <v>8500</v>
      </c>
      <c r="E33" s="1075"/>
      <c r="F33" s="1075"/>
      <c r="G33" s="1075"/>
      <c r="H33" s="1075"/>
      <c r="I33" s="1075"/>
    </row>
    <row r="34" spans="1:9" s="422" customFormat="1" ht="15">
      <c r="A34" s="999" t="s">
        <v>812</v>
      </c>
      <c r="B34" s="1000"/>
      <c r="C34" s="1001">
        <v>1000</v>
      </c>
      <c r="D34" s="1002">
        <v>1000</v>
      </c>
      <c r="E34" s="1075"/>
      <c r="F34" s="1075"/>
      <c r="G34" s="1075"/>
      <c r="H34" s="1075"/>
      <c r="I34" s="1075"/>
    </row>
    <row r="35" spans="1:9" s="422" customFormat="1" ht="15">
      <c r="A35" s="999" t="s">
        <v>813</v>
      </c>
      <c r="B35" s="1000"/>
      <c r="C35" s="1001">
        <v>1650</v>
      </c>
      <c r="D35" s="1002">
        <v>1650</v>
      </c>
      <c r="E35" s="1075"/>
      <c r="F35" s="1075"/>
      <c r="G35" s="1075"/>
      <c r="H35" s="1075"/>
      <c r="I35" s="1075"/>
    </row>
    <row r="36" spans="1:9" s="422" customFormat="1" ht="15">
      <c r="A36" s="999" t="s">
        <v>814</v>
      </c>
      <c r="B36" s="1000"/>
      <c r="C36" s="1001">
        <v>3050</v>
      </c>
      <c r="D36" s="1002">
        <v>3050</v>
      </c>
      <c r="E36" s="1075"/>
      <c r="F36" s="1075"/>
      <c r="G36" s="1075"/>
      <c r="H36" s="1075"/>
      <c r="I36" s="1075"/>
    </row>
    <row r="37" spans="1:9" s="422" customFormat="1" ht="15">
      <c r="A37" s="999" t="s">
        <v>815</v>
      </c>
      <c r="B37" s="1000"/>
      <c r="C37" s="1001">
        <v>200</v>
      </c>
      <c r="D37" s="1002">
        <v>200</v>
      </c>
      <c r="E37" s="1075"/>
      <c r="F37" s="1075"/>
      <c r="G37" s="1075"/>
      <c r="H37" s="1075"/>
      <c r="I37" s="1075"/>
    </row>
    <row r="38" spans="1:9" s="422" customFormat="1" ht="15">
      <c r="A38" s="999" t="s">
        <v>816</v>
      </c>
      <c r="B38" s="1000"/>
      <c r="C38" s="1001">
        <v>3000</v>
      </c>
      <c r="D38" s="1002">
        <v>3000</v>
      </c>
      <c r="E38" s="1075"/>
      <c r="F38" s="1075"/>
      <c r="G38" s="1075"/>
      <c r="H38" s="1075"/>
      <c r="I38" s="1075"/>
    </row>
    <row r="39" spans="1:9" s="422" customFormat="1" ht="15">
      <c r="A39" s="999" t="s">
        <v>824</v>
      </c>
      <c r="B39" s="1000"/>
      <c r="C39" s="1001">
        <v>2800</v>
      </c>
      <c r="D39" s="1002">
        <v>2800</v>
      </c>
      <c r="E39" s="1075"/>
      <c r="F39" s="1075"/>
      <c r="G39" s="1075"/>
      <c r="H39" s="1075"/>
      <c r="I39" s="1075"/>
    </row>
    <row r="40" spans="1:9" s="422" customFormat="1" ht="15">
      <c r="A40" s="999" t="s">
        <v>817</v>
      </c>
      <c r="B40" s="1000"/>
      <c r="C40" s="1001">
        <v>500</v>
      </c>
      <c r="D40" s="1002">
        <v>500</v>
      </c>
      <c r="E40" s="1075"/>
      <c r="F40" s="1075"/>
      <c r="G40" s="1075"/>
      <c r="H40" s="1075"/>
      <c r="I40" s="1075"/>
    </row>
    <row r="41" spans="1:9" s="422" customFormat="1" ht="15">
      <c r="A41" s="454" t="s">
        <v>820</v>
      </c>
      <c r="B41" s="1000"/>
      <c r="C41" s="1001">
        <v>1000</v>
      </c>
      <c r="D41" s="1002">
        <v>1365</v>
      </c>
      <c r="E41" s="1075"/>
      <c r="F41" s="1075"/>
      <c r="G41" s="1075"/>
      <c r="H41" s="1075"/>
      <c r="I41" s="1075"/>
    </row>
    <row r="42" spans="1:9" s="422" customFormat="1" ht="15">
      <c r="A42" s="451" t="s">
        <v>821</v>
      </c>
      <c r="B42" s="443"/>
      <c r="C42" s="429">
        <v>300</v>
      </c>
      <c r="D42" s="433">
        <v>300</v>
      </c>
      <c r="E42" s="1075"/>
      <c r="F42" s="1075"/>
      <c r="G42" s="1075"/>
      <c r="H42" s="1075"/>
      <c r="I42" s="1075"/>
    </row>
    <row r="43" spans="1:9" s="422" customFormat="1" ht="15">
      <c r="A43" s="1003" t="s">
        <v>822</v>
      </c>
      <c r="B43" s="443"/>
      <c r="C43" s="429">
        <v>250</v>
      </c>
      <c r="D43" s="1002">
        <v>250</v>
      </c>
      <c r="E43" s="1075"/>
      <c r="F43" s="1075"/>
      <c r="G43" s="1075"/>
      <c r="H43" s="1075"/>
      <c r="I43" s="1075"/>
    </row>
    <row r="44" spans="1:9" s="422" customFormat="1" ht="15">
      <c r="A44" s="1003" t="s">
        <v>823</v>
      </c>
      <c r="B44" s="443"/>
      <c r="C44" s="429">
        <v>500</v>
      </c>
      <c r="D44" s="1002">
        <v>500</v>
      </c>
      <c r="E44" s="1075"/>
      <c r="F44" s="1075"/>
      <c r="G44" s="1075"/>
      <c r="H44" s="1075"/>
      <c r="I44" s="1075"/>
    </row>
    <row r="45" spans="1:9" s="422" customFormat="1" ht="15">
      <c r="A45" s="1003" t="s">
        <v>825</v>
      </c>
      <c r="B45" s="443"/>
      <c r="C45" s="429">
        <v>500</v>
      </c>
      <c r="D45" s="1002">
        <v>500</v>
      </c>
      <c r="E45" s="1075"/>
      <c r="F45" s="1075"/>
      <c r="G45" s="1075"/>
      <c r="H45" s="1075"/>
      <c r="I45" s="1075"/>
    </row>
    <row r="46" spans="1:9" s="422" customFormat="1" ht="15">
      <c r="A46" s="1003" t="s">
        <v>826</v>
      </c>
      <c r="B46" s="443"/>
      <c r="C46" s="429">
        <v>80</v>
      </c>
      <c r="D46" s="1002">
        <v>80</v>
      </c>
      <c r="E46" s="1075"/>
      <c r="F46" s="1075"/>
      <c r="G46" s="1075"/>
      <c r="H46" s="1075"/>
      <c r="I46" s="1075"/>
    </row>
    <row r="47" spans="1:9" s="422" customFormat="1" ht="15">
      <c r="A47" s="1003" t="s">
        <v>827</v>
      </c>
      <c r="B47" s="443"/>
      <c r="C47" s="429">
        <v>500</v>
      </c>
      <c r="D47" s="1002">
        <v>500</v>
      </c>
      <c r="E47" s="1075"/>
      <c r="F47" s="1075"/>
      <c r="G47" s="1075"/>
      <c r="H47" s="1075"/>
      <c r="I47" s="1075"/>
    </row>
    <row r="48" spans="1:9" s="422" customFormat="1" ht="15">
      <c r="A48" s="1003" t="s">
        <v>829</v>
      </c>
      <c r="B48" s="443"/>
      <c r="C48" s="429">
        <v>1308</v>
      </c>
      <c r="D48" s="1002">
        <v>1308</v>
      </c>
      <c r="E48" s="1075"/>
      <c r="F48" s="1075"/>
      <c r="G48" s="1075"/>
      <c r="H48" s="1075"/>
      <c r="I48" s="1075"/>
    </row>
    <row r="49" spans="1:9" s="422" customFormat="1" ht="15">
      <c r="A49" s="1003" t="s">
        <v>900</v>
      </c>
      <c r="B49" s="443"/>
      <c r="C49" s="429">
        <v>220</v>
      </c>
      <c r="D49" s="1002">
        <v>220</v>
      </c>
      <c r="E49" s="1075"/>
      <c r="F49" s="1075"/>
      <c r="G49" s="1075"/>
      <c r="H49" s="1075"/>
      <c r="I49" s="1075"/>
    </row>
    <row r="50" spans="1:9" s="422" customFormat="1" ht="15">
      <c r="A50" s="1086" t="s">
        <v>922</v>
      </c>
      <c r="B50" s="1079"/>
      <c r="C50" s="1080"/>
      <c r="D50" s="1081">
        <v>190</v>
      </c>
      <c r="E50" s="1075"/>
      <c r="F50" s="1075"/>
      <c r="G50" s="1075"/>
      <c r="H50" s="1075"/>
      <c r="I50" s="1075"/>
    </row>
    <row r="51" spans="1:9" s="422" customFormat="1" ht="15">
      <c r="A51" s="1086" t="s">
        <v>923</v>
      </c>
      <c r="B51" s="1079"/>
      <c r="C51" s="1080"/>
      <c r="D51" s="1081">
        <v>153</v>
      </c>
      <c r="E51" s="1075"/>
      <c r="F51" s="1075"/>
      <c r="G51" s="1075"/>
      <c r="H51" s="1075"/>
      <c r="I51" s="1075"/>
    </row>
    <row r="52" spans="1:9" s="422" customFormat="1" ht="15">
      <c r="A52" s="1003" t="s">
        <v>901</v>
      </c>
      <c r="B52" s="443"/>
      <c r="C52" s="429">
        <v>500</v>
      </c>
      <c r="D52" s="1002">
        <v>500</v>
      </c>
      <c r="E52" s="1075"/>
      <c r="F52" s="1075"/>
      <c r="G52" s="1075"/>
      <c r="H52" s="1075"/>
      <c r="I52" s="1075"/>
    </row>
    <row r="53" spans="1:9" s="422" customFormat="1" ht="15">
      <c r="A53" s="1003" t="s">
        <v>902</v>
      </c>
      <c r="B53" s="443"/>
      <c r="C53" s="429">
        <v>365</v>
      </c>
      <c r="D53" s="1002">
        <v>365</v>
      </c>
      <c r="E53" s="1075"/>
      <c r="F53" s="1075"/>
      <c r="G53" s="1075"/>
      <c r="H53" s="1075"/>
      <c r="I53" s="1075"/>
    </row>
    <row r="54" spans="1:9" s="422" customFormat="1" ht="15">
      <c r="A54" s="1003" t="s">
        <v>904</v>
      </c>
      <c r="B54" s="443"/>
      <c r="C54" s="429">
        <v>3750</v>
      </c>
      <c r="D54" s="1002">
        <v>3750</v>
      </c>
      <c r="E54" s="1075"/>
      <c r="F54" s="1075"/>
      <c r="G54" s="1075"/>
      <c r="H54" s="1075"/>
      <c r="I54" s="1075"/>
    </row>
    <row r="55" spans="1:9" s="422" customFormat="1" ht="15">
      <c r="A55" s="451"/>
      <c r="B55" s="443"/>
      <c r="C55" s="429"/>
      <c r="D55" s="433"/>
      <c r="E55" s="1075"/>
      <c r="F55" s="1075"/>
      <c r="G55" s="1075"/>
      <c r="H55" s="1075"/>
      <c r="I55" s="1075"/>
    </row>
    <row r="56" spans="1:9" s="422" customFormat="1" ht="13.5" customHeight="1">
      <c r="A56" s="453" t="s">
        <v>497</v>
      </c>
      <c r="B56" s="445">
        <f>B6+B14</f>
        <v>916152</v>
      </c>
      <c r="C56" s="431">
        <f>C6+C14</f>
        <v>1058046</v>
      </c>
      <c r="D56" s="435">
        <f>D6+D14</f>
        <v>1085489</v>
      </c>
      <c r="E56" s="1075"/>
      <c r="F56" s="1075"/>
      <c r="G56" s="1075"/>
      <c r="H56" s="1075"/>
      <c r="I56" s="1075"/>
    </row>
    <row r="57" spans="1:9" s="422" customFormat="1" ht="15" customHeight="1">
      <c r="A57" s="451"/>
      <c r="B57" s="443"/>
      <c r="C57" s="429"/>
      <c r="D57" s="433"/>
      <c r="E57" s="1075"/>
      <c r="F57" s="1075"/>
      <c r="G57" s="1075"/>
      <c r="H57" s="1075"/>
      <c r="I57" s="1075"/>
    </row>
    <row r="58" spans="1:9" s="474" customFormat="1" ht="15">
      <c r="A58" s="452" t="s">
        <v>460</v>
      </c>
      <c r="B58" s="444">
        <f>SUM(B59:B61)</f>
        <v>40000</v>
      </c>
      <c r="C58" s="430">
        <f aca="true" t="shared" si="1" ref="C58:D58">SUM(C59:C61)</f>
        <v>55000</v>
      </c>
      <c r="D58" s="434">
        <f t="shared" si="1"/>
        <v>62700</v>
      </c>
      <c r="E58" s="1076"/>
      <c r="F58" s="1076"/>
      <c r="G58" s="1076"/>
      <c r="H58" s="1076"/>
      <c r="I58" s="1076"/>
    </row>
    <row r="59" spans="1:9" s="422" customFormat="1" ht="15">
      <c r="A59" s="451" t="s">
        <v>461</v>
      </c>
      <c r="B59" s="443">
        <v>40000</v>
      </c>
      <c r="C59" s="429">
        <v>40000</v>
      </c>
      <c r="D59" s="433">
        <v>40000</v>
      </c>
      <c r="E59" s="1075"/>
      <c r="F59" s="1075"/>
      <c r="G59" s="1075"/>
      <c r="H59" s="1075"/>
      <c r="I59" s="1075"/>
    </row>
    <row r="60" spans="1:9" s="422" customFormat="1" ht="15">
      <c r="A60" s="1078" t="s">
        <v>920</v>
      </c>
      <c r="B60" s="1079"/>
      <c r="C60" s="1080"/>
      <c r="D60" s="1081">
        <v>7700</v>
      </c>
      <c r="E60" s="1075"/>
      <c r="F60" s="1075"/>
      <c r="G60" s="1075"/>
      <c r="H60" s="1075"/>
      <c r="I60" s="1075"/>
    </row>
    <row r="61" spans="1:9" s="422" customFormat="1" ht="15">
      <c r="A61" s="454" t="s">
        <v>820</v>
      </c>
      <c r="B61" s="443"/>
      <c r="C61" s="429">
        <v>15000</v>
      </c>
      <c r="D61" s="433">
        <v>15000</v>
      </c>
      <c r="E61" s="1075"/>
      <c r="F61" s="1075"/>
      <c r="G61" s="1075"/>
      <c r="H61" s="1075"/>
      <c r="I61" s="1075"/>
    </row>
    <row r="62" spans="1:9" s="422" customFormat="1" ht="15">
      <c r="A62" s="451"/>
      <c r="B62" s="443"/>
      <c r="C62" s="429"/>
      <c r="D62" s="433"/>
      <c r="E62" s="1075"/>
      <c r="F62" s="1075"/>
      <c r="G62" s="1075"/>
      <c r="H62" s="1075"/>
      <c r="I62" s="1075"/>
    </row>
    <row r="63" spans="1:9" s="422" customFormat="1" ht="15">
      <c r="A63" s="453" t="s">
        <v>468</v>
      </c>
      <c r="B63" s="445">
        <f>B58</f>
        <v>40000</v>
      </c>
      <c r="C63" s="431">
        <f aca="true" t="shared" si="2" ref="C63:D63">C58</f>
        <v>55000</v>
      </c>
      <c r="D63" s="435">
        <f t="shared" si="2"/>
        <v>62700</v>
      </c>
      <c r="E63" s="1075"/>
      <c r="F63" s="1075"/>
      <c r="G63" s="1075"/>
      <c r="H63" s="1075"/>
      <c r="I63" s="1075"/>
    </row>
    <row r="64" spans="1:9" s="422" customFormat="1" ht="15">
      <c r="A64" s="451"/>
      <c r="B64" s="443"/>
      <c r="C64" s="429"/>
      <c r="D64" s="433"/>
      <c r="E64" s="1075"/>
      <c r="F64" s="1075"/>
      <c r="G64" s="1075"/>
      <c r="H64" s="1075"/>
      <c r="I64" s="1075"/>
    </row>
    <row r="65" spans="1:9" s="422" customFormat="1" ht="28.5">
      <c r="A65" s="453" t="s">
        <v>469</v>
      </c>
      <c r="B65" s="445">
        <f>B56+B63</f>
        <v>956152</v>
      </c>
      <c r="C65" s="431">
        <f aca="true" t="shared" si="3" ref="C65:D65">C56+C63</f>
        <v>1113046</v>
      </c>
      <c r="D65" s="435">
        <f t="shared" si="3"/>
        <v>1148189</v>
      </c>
      <c r="E65" s="1075"/>
      <c r="F65" s="1075"/>
      <c r="G65" s="1075"/>
      <c r="H65" s="1075"/>
      <c r="I65" s="1075"/>
    </row>
    <row r="66" spans="1:9" s="422" customFormat="1" ht="15">
      <c r="A66" s="451"/>
      <c r="B66" s="443"/>
      <c r="C66" s="429"/>
      <c r="D66" s="433"/>
      <c r="E66" s="1075"/>
      <c r="F66" s="1075"/>
      <c r="G66" s="1075"/>
      <c r="H66" s="1075"/>
      <c r="I66" s="1075"/>
    </row>
    <row r="67" spans="1:9" s="422" customFormat="1" ht="15">
      <c r="A67" s="452" t="s">
        <v>831</v>
      </c>
      <c r="B67" s="1008">
        <f>B68</f>
        <v>0</v>
      </c>
      <c r="C67" s="1008">
        <f aca="true" t="shared" si="4" ref="C67:D67">C68</f>
        <v>750</v>
      </c>
      <c r="D67" s="1009">
        <f t="shared" si="4"/>
        <v>750</v>
      </c>
      <c r="E67" s="1075"/>
      <c r="F67" s="1075"/>
      <c r="G67" s="1075"/>
      <c r="H67" s="1075"/>
      <c r="I67" s="1075"/>
    </row>
    <row r="68" spans="1:9" s="422" customFormat="1" ht="15">
      <c r="A68" s="999" t="s">
        <v>832</v>
      </c>
      <c r="B68" s="1000"/>
      <c r="C68" s="1001">
        <v>750</v>
      </c>
      <c r="D68" s="1002">
        <v>750</v>
      </c>
      <c r="E68" s="1075"/>
      <c r="F68" s="1075"/>
      <c r="G68" s="1075"/>
      <c r="H68" s="1075"/>
      <c r="I68" s="1075"/>
    </row>
    <row r="69" spans="1:9" s="422" customFormat="1" ht="15">
      <c r="A69" s="999"/>
      <c r="B69" s="1000"/>
      <c r="C69" s="1001"/>
      <c r="D69" s="1002"/>
      <c r="E69" s="1075"/>
      <c r="F69" s="1075"/>
      <c r="G69" s="1075"/>
      <c r="H69" s="1075"/>
      <c r="I69" s="1075"/>
    </row>
    <row r="70" spans="1:9" s="474" customFormat="1" ht="15.75" customHeight="1">
      <c r="A70" s="452" t="s">
        <v>463</v>
      </c>
      <c r="B70" s="444">
        <f>SUM(B71:B73)</f>
        <v>6000</v>
      </c>
      <c r="C70" s="430">
        <f aca="true" t="shared" si="5" ref="C70:D70">SUM(C71:C73)</f>
        <v>6040</v>
      </c>
      <c r="D70" s="434">
        <f t="shared" si="5"/>
        <v>1300</v>
      </c>
      <c r="E70" s="1076"/>
      <c r="F70" s="1076"/>
      <c r="G70" s="1076"/>
      <c r="H70" s="1076"/>
      <c r="I70" s="1076"/>
    </row>
    <row r="71" spans="1:4" ht="15">
      <c r="A71" s="451" t="s">
        <v>464</v>
      </c>
      <c r="B71" s="443">
        <v>6000</v>
      </c>
      <c r="C71" s="429">
        <v>5840</v>
      </c>
      <c r="D71" s="433">
        <v>1100</v>
      </c>
    </row>
    <row r="72" spans="1:9" s="422" customFormat="1" ht="15">
      <c r="A72" s="451" t="s">
        <v>818</v>
      </c>
      <c r="B72" s="443"/>
      <c r="C72" s="429">
        <v>100</v>
      </c>
      <c r="D72" s="433">
        <v>100</v>
      </c>
      <c r="E72" s="1075"/>
      <c r="F72" s="1075"/>
      <c r="G72" s="1075"/>
      <c r="H72" s="1075"/>
      <c r="I72" s="1075"/>
    </row>
    <row r="73" spans="1:9" s="422" customFormat="1" ht="15">
      <c r="A73" s="451" t="s">
        <v>819</v>
      </c>
      <c r="B73" s="443"/>
      <c r="C73" s="429">
        <v>100</v>
      </c>
      <c r="D73" s="433">
        <v>100</v>
      </c>
      <c r="E73" s="1075"/>
      <c r="F73" s="1075"/>
      <c r="G73" s="1075"/>
      <c r="H73" s="1075"/>
      <c r="I73" s="1075"/>
    </row>
    <row r="74" spans="1:9" s="422" customFormat="1" ht="15">
      <c r="A74" s="999"/>
      <c r="B74" s="1000"/>
      <c r="C74" s="1001"/>
      <c r="D74" s="1002"/>
      <c r="E74" s="1075"/>
      <c r="F74" s="1075"/>
      <c r="G74" s="1075"/>
      <c r="H74" s="1075"/>
      <c r="I74" s="1075"/>
    </row>
    <row r="75" spans="1:9" s="422" customFormat="1" ht="13.5" customHeight="1">
      <c r="A75" s="453" t="s">
        <v>498</v>
      </c>
      <c r="B75" s="445">
        <f>B67+B70</f>
        <v>6000</v>
      </c>
      <c r="C75" s="431">
        <f aca="true" t="shared" si="6" ref="C75:D75">C67+C70</f>
        <v>6790</v>
      </c>
      <c r="D75" s="435">
        <f t="shared" si="6"/>
        <v>2050</v>
      </c>
      <c r="E75" s="1075"/>
      <c r="F75" s="1075"/>
      <c r="G75" s="1075"/>
      <c r="H75" s="1075"/>
      <c r="I75" s="1075"/>
    </row>
    <row r="76" spans="1:9" s="422" customFormat="1" ht="15">
      <c r="A76" s="999"/>
      <c r="B76" s="1000"/>
      <c r="C76" s="1001"/>
      <c r="D76" s="1002"/>
      <c r="E76" s="1075"/>
      <c r="F76" s="1075"/>
      <c r="G76" s="1075"/>
      <c r="H76" s="1075"/>
      <c r="I76" s="1075"/>
    </row>
    <row r="77" spans="1:9" s="474" customFormat="1" ht="15.75" customHeight="1">
      <c r="A77" s="452" t="s">
        <v>466</v>
      </c>
      <c r="B77" s="444">
        <f>B78</f>
        <v>0</v>
      </c>
      <c r="C77" s="430">
        <f aca="true" t="shared" si="7" ref="C77:D77">C78</f>
        <v>200</v>
      </c>
      <c r="D77" s="434">
        <f t="shared" si="7"/>
        <v>400</v>
      </c>
      <c r="E77" s="1076"/>
      <c r="F77" s="1076"/>
      <c r="G77" s="1076"/>
      <c r="H77" s="1076"/>
      <c r="I77" s="1076"/>
    </row>
    <row r="78" spans="1:9" s="422" customFormat="1" ht="15">
      <c r="A78" s="450" t="s">
        <v>464</v>
      </c>
      <c r="B78" s="1000"/>
      <c r="C78" s="1001">
        <v>200</v>
      </c>
      <c r="D78" s="1002">
        <v>400</v>
      </c>
      <c r="E78" s="1075"/>
      <c r="F78" s="1075"/>
      <c r="G78" s="1075"/>
      <c r="H78" s="1075"/>
      <c r="I78" s="1075"/>
    </row>
    <row r="79" spans="1:9" s="422" customFormat="1" ht="15">
      <c r="A79" s="999"/>
      <c r="B79" s="1000"/>
      <c r="C79" s="1001"/>
      <c r="D79" s="1002"/>
      <c r="E79" s="1075"/>
      <c r="F79" s="1075"/>
      <c r="G79" s="1075"/>
      <c r="H79" s="1075"/>
      <c r="I79" s="1075"/>
    </row>
    <row r="80" spans="1:9" s="422" customFormat="1" ht="13.5" customHeight="1">
      <c r="A80" s="453" t="s">
        <v>499</v>
      </c>
      <c r="B80" s="445">
        <f>B77</f>
        <v>0</v>
      </c>
      <c r="C80" s="431">
        <f aca="true" t="shared" si="8" ref="C80:D80">C77</f>
        <v>200</v>
      </c>
      <c r="D80" s="435">
        <f t="shared" si="8"/>
        <v>400</v>
      </c>
      <c r="E80" s="1075"/>
      <c r="F80" s="1075"/>
      <c r="G80" s="1075"/>
      <c r="H80" s="1075"/>
      <c r="I80" s="1075"/>
    </row>
    <row r="81" spans="1:9" s="421" customFormat="1" ht="15">
      <c r="A81" s="448"/>
      <c r="B81" s="443"/>
      <c r="C81" s="429"/>
      <c r="D81" s="433"/>
      <c r="E81" s="1071"/>
      <c r="F81" s="1071"/>
      <c r="G81" s="1071"/>
      <c r="H81" s="1071"/>
      <c r="I81" s="1071"/>
    </row>
    <row r="82" spans="1:9" s="421" customFormat="1" ht="28.5">
      <c r="A82" s="449" t="s">
        <v>470</v>
      </c>
      <c r="B82" s="445">
        <f>B75+B80</f>
        <v>6000</v>
      </c>
      <c r="C82" s="431">
        <f aca="true" t="shared" si="9" ref="C82:D82">C75+C80</f>
        <v>6990</v>
      </c>
      <c r="D82" s="435">
        <f t="shared" si="9"/>
        <v>2450</v>
      </c>
      <c r="E82" s="1071"/>
      <c r="F82" s="1071"/>
      <c r="G82" s="1071"/>
      <c r="H82" s="1071"/>
      <c r="I82" s="1071"/>
    </row>
    <row r="83" spans="1:9" s="421" customFormat="1" ht="15" thickBot="1">
      <c r="A83" s="460"/>
      <c r="B83" s="461"/>
      <c r="C83" s="462"/>
      <c r="D83" s="463"/>
      <c r="E83" s="1071"/>
      <c r="F83" s="1071"/>
      <c r="G83" s="1071"/>
      <c r="H83" s="1071"/>
      <c r="I83" s="1071"/>
    </row>
    <row r="84" spans="1:9" s="421" customFormat="1" ht="15" thickBot="1">
      <c r="A84" s="456" t="s">
        <v>777</v>
      </c>
      <c r="B84" s="457">
        <f>B65+B82</f>
        <v>962152</v>
      </c>
      <c r="C84" s="458">
        <f>C65+C82</f>
        <v>1120036</v>
      </c>
      <c r="D84" s="459">
        <f>D65+D82</f>
        <v>1150639</v>
      </c>
      <c r="E84" s="1071"/>
      <c r="F84" s="1071"/>
      <c r="G84" s="1071"/>
      <c r="H84" s="1071"/>
      <c r="I84" s="1071"/>
    </row>
    <row r="85" spans="1:4" ht="15">
      <c r="A85" s="447"/>
      <c r="B85" s="467"/>
      <c r="C85" s="468"/>
      <c r="D85" s="469"/>
    </row>
    <row r="86" spans="1:4" ht="15">
      <c r="A86" s="449" t="s">
        <v>465</v>
      </c>
      <c r="B86" s="466"/>
      <c r="C86" s="427"/>
      <c r="D86" s="465"/>
    </row>
    <row r="87" spans="1:4" ht="15">
      <c r="A87" s="449"/>
      <c r="B87" s="466"/>
      <c r="C87" s="427"/>
      <c r="D87" s="465"/>
    </row>
    <row r="88" spans="1:4" ht="15">
      <c r="A88" s="1019" t="s">
        <v>446</v>
      </c>
      <c r="B88" s="1022">
        <f>B89</f>
        <v>0</v>
      </c>
      <c r="C88" s="1022">
        <f aca="true" t="shared" si="10" ref="C88:D88">C89</f>
        <v>118</v>
      </c>
      <c r="D88" s="1020">
        <f t="shared" si="10"/>
        <v>118</v>
      </c>
    </row>
    <row r="89" spans="1:4" ht="15">
      <c r="A89" s="1004" t="s">
        <v>870</v>
      </c>
      <c r="B89" s="1023"/>
      <c r="C89" s="1024">
        <v>118</v>
      </c>
      <c r="D89" s="1021">
        <v>118</v>
      </c>
    </row>
    <row r="90" spans="1:4" ht="15">
      <c r="A90" s="1015"/>
      <c r="B90" s="1016"/>
      <c r="C90" s="1017"/>
      <c r="D90" s="1018"/>
    </row>
    <row r="91" spans="1:9" s="473" customFormat="1" ht="15">
      <c r="A91" s="455" t="s">
        <v>466</v>
      </c>
      <c r="B91" s="470">
        <f>B92</f>
        <v>1200</v>
      </c>
      <c r="C91" s="471">
        <f aca="true" t="shared" si="11" ref="C91:D91">C92</f>
        <v>1200</v>
      </c>
      <c r="D91" s="472">
        <f t="shared" si="11"/>
        <v>1200</v>
      </c>
      <c r="E91" s="1070"/>
      <c r="F91" s="1070"/>
      <c r="G91" s="1070"/>
      <c r="H91" s="1070"/>
      <c r="I91" s="1070"/>
    </row>
    <row r="92" spans="1:4" ht="15">
      <c r="A92" s="448" t="s">
        <v>467</v>
      </c>
      <c r="B92" s="442">
        <v>1200</v>
      </c>
      <c r="C92" s="428">
        <v>1200</v>
      </c>
      <c r="D92" s="432">
        <v>1200</v>
      </c>
    </row>
    <row r="93" spans="1:9" s="423" customFormat="1" ht="14.25" customHeight="1" thickBot="1">
      <c r="A93" s="475"/>
      <c r="B93" s="476"/>
      <c r="C93" s="477"/>
      <c r="D93" s="478"/>
      <c r="E93" s="1077"/>
      <c r="F93" s="1077"/>
      <c r="G93" s="1077"/>
      <c r="H93" s="1077"/>
      <c r="I93" s="1077"/>
    </row>
    <row r="94" spans="1:4" ht="15.75" thickBot="1">
      <c r="A94" s="456" t="s">
        <v>778</v>
      </c>
      <c r="B94" s="479">
        <f>B88+B91</f>
        <v>1200</v>
      </c>
      <c r="C94" s="480">
        <f aca="true" t="shared" si="12" ref="C94:D94">C88+C91</f>
        <v>1318</v>
      </c>
      <c r="D94" s="481">
        <f t="shared" si="12"/>
        <v>1318</v>
      </c>
    </row>
    <row r="95" ht="15"/>
    <row r="96" ht="15">
      <c r="A96" s="1423" t="s">
        <v>995</v>
      </c>
    </row>
    <row r="97" ht="15">
      <c r="A97" s="1423" t="s">
        <v>996</v>
      </c>
    </row>
    <row r="98" ht="15">
      <c r="A98" s="1423" t="s">
        <v>997</v>
      </c>
    </row>
    <row r="99" ht="15">
      <c r="A99" s="1423" t="s">
        <v>998</v>
      </c>
    </row>
    <row r="100" ht="15">
      <c r="A100" s="1423" t="s">
        <v>999</v>
      </c>
    </row>
    <row r="101" ht="15"/>
    <row r="102" ht="15"/>
    <row r="103" ht="15"/>
    <row r="104" spans="5:9" s="425" customFormat="1" ht="15">
      <c r="E104" s="1072"/>
      <c r="F104" s="1072"/>
      <c r="G104" s="1072"/>
      <c r="H104" s="1072"/>
      <c r="I104" s="1072"/>
    </row>
    <row r="105" spans="5:9" s="421" customFormat="1" ht="14.25">
      <c r="E105" s="1071"/>
      <c r="F105" s="1071"/>
      <c r="G105" s="1071"/>
      <c r="H105" s="1071"/>
      <c r="I105" s="1071"/>
    </row>
    <row r="106" spans="5:9" s="421" customFormat="1" ht="14.25">
      <c r="E106" s="1071"/>
      <c r="F106" s="1071"/>
      <c r="G106" s="1071"/>
      <c r="H106" s="1071"/>
      <c r="I106" s="1071"/>
    </row>
    <row r="107" spans="1:3" ht="15">
      <c r="A107" s="418"/>
      <c r="B107" s="418"/>
      <c r="C107" s="418"/>
    </row>
    <row r="108" spans="5:9" s="421" customFormat="1" ht="14.25">
      <c r="E108" s="1071"/>
      <c r="F108" s="1071"/>
      <c r="G108" s="1071"/>
      <c r="H108" s="1071"/>
      <c r="I108" s="1071"/>
    </row>
    <row r="109" spans="5:9" s="421" customFormat="1" ht="33.75" customHeight="1">
      <c r="E109" s="1071"/>
      <c r="F109" s="1071"/>
      <c r="G109" s="1071"/>
      <c r="H109" s="1071"/>
      <c r="I109" s="1071"/>
    </row>
    <row r="110" spans="5:9" s="464" customFormat="1" ht="36.75" customHeight="1">
      <c r="E110" s="1074"/>
      <c r="F110" s="1074"/>
      <c r="G110" s="1074"/>
      <c r="H110" s="1074"/>
      <c r="I110" s="1074"/>
    </row>
    <row r="111" ht="15.75" customHeight="1"/>
    <row r="112" ht="15"/>
    <row r="113" ht="15"/>
    <row r="114" ht="15"/>
    <row r="115" ht="15"/>
    <row r="116" ht="15"/>
    <row r="117" ht="30.75" customHeight="1"/>
    <row r="118" ht="30.75" customHeight="1" hidden="1"/>
    <row r="119" ht="10.5" customHeight="1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12" ht="15"/>
    <row r="32013" ht="15"/>
    <row r="32014" ht="15"/>
    <row r="32015" ht="15"/>
    <row r="32016" ht="15"/>
    <row r="32017" ht="15"/>
    <row r="32018" ht="15"/>
    <row r="32019" ht="15"/>
    <row r="32020" ht="15"/>
    <row r="32021" ht="15"/>
    <row r="32022" ht="15"/>
    <row r="32023" ht="15"/>
    <row r="32024" ht="15"/>
    <row r="32025" ht="15"/>
    <row r="32026" ht="15"/>
    <row r="32027" ht="15"/>
    <row r="32028" ht="15"/>
    <row r="32029" ht="15"/>
    <row r="32030" ht="15"/>
    <row r="32031" ht="15"/>
    <row r="32032" ht="15"/>
    <row r="32033" ht="15"/>
    <row r="32034" ht="15"/>
    <row r="32035" ht="15"/>
    <row r="32036" ht="15"/>
    <row r="32037" ht="15"/>
    <row r="32038" ht="15"/>
    <row r="32039" ht="15"/>
    <row r="32040" ht="15"/>
    <row r="32041" ht="15"/>
    <row r="32042" ht="15"/>
    <row r="32043" ht="15"/>
    <row r="32044" ht="15"/>
    <row r="32045" ht="15"/>
    <row r="32046" ht="15"/>
    <row r="32047" ht="15"/>
    <row r="32048" ht="15"/>
    <row r="32049" ht="15"/>
    <row r="32050" ht="15"/>
    <row r="3205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22" ht="15"/>
    <row r="32523" ht="15"/>
    <row r="32524" ht="15"/>
    <row r="32525" ht="15"/>
    <row r="32526" ht="15"/>
    <row r="32527" ht="15"/>
    <row r="32528" ht="15"/>
    <row r="32529" ht="15"/>
    <row r="32530" ht="15"/>
    <row r="32531" ht="15"/>
    <row r="32532" ht="15"/>
    <row r="32533" ht="15"/>
    <row r="32534" ht="15"/>
    <row r="32535" ht="15"/>
    <row r="32536" ht="15"/>
    <row r="32537" ht="15"/>
    <row r="32538" ht="15"/>
    <row r="32539" ht="15"/>
    <row r="32540" ht="15"/>
    <row r="32541" ht="15"/>
    <row r="32542" ht="15"/>
    <row r="32543" ht="15"/>
    <row r="32544" ht="15"/>
    <row r="32545" ht="15"/>
    <row r="32546" ht="15"/>
    <row r="32547" ht="15"/>
    <row r="32548" ht="15"/>
    <row r="32549" ht="15"/>
    <row r="32550" ht="15"/>
    <row r="32551" ht="15"/>
    <row r="32552" ht="15"/>
    <row r="32553" ht="15"/>
    <row r="32554" ht="15"/>
    <row r="32555" ht="15"/>
    <row r="32556" ht="15"/>
    <row r="32557" ht="15"/>
    <row r="32558" ht="15"/>
    <row r="32559" ht="15"/>
    <row r="32560" ht="15"/>
    <row r="3256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32" ht="15"/>
    <row r="33033" ht="15"/>
    <row r="33034" ht="15"/>
    <row r="33035" ht="15"/>
    <row r="33036" ht="15"/>
    <row r="33037" ht="15"/>
    <row r="33038" ht="15"/>
    <row r="33039" ht="15"/>
    <row r="33040" ht="15"/>
    <row r="33041" ht="15"/>
    <row r="33042" ht="15"/>
    <row r="33043" ht="15"/>
    <row r="33044" ht="15"/>
    <row r="33045" ht="15"/>
    <row r="33046" ht="15"/>
    <row r="33047" ht="15"/>
    <row r="33048" ht="15"/>
    <row r="33049" ht="15"/>
    <row r="33050" ht="15"/>
    <row r="33051" ht="15"/>
    <row r="33052" ht="15"/>
    <row r="33053" ht="15"/>
    <row r="33054" ht="15"/>
    <row r="33055" ht="15"/>
    <row r="33056" ht="15"/>
    <row r="33057" ht="15"/>
    <row r="33058" ht="15"/>
    <row r="33059" ht="15"/>
    <row r="33060" ht="15"/>
    <row r="33061" ht="15"/>
    <row r="33062" ht="15"/>
    <row r="33063" ht="15"/>
    <row r="33064" ht="15"/>
    <row r="33065" ht="15"/>
    <row r="33066" ht="15"/>
    <row r="33067" ht="15"/>
    <row r="33068" ht="15"/>
    <row r="33069" ht="15"/>
    <row r="33070" ht="15"/>
    <row r="3307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42" ht="15"/>
    <row r="33543" ht="15"/>
    <row r="33544" ht="15"/>
    <row r="33545" ht="15"/>
    <row r="33546" ht="15"/>
    <row r="33547" ht="15"/>
    <row r="33548" ht="15"/>
    <row r="33549" ht="15"/>
    <row r="33550" ht="15"/>
    <row r="33551" ht="15"/>
    <row r="33552" ht="15"/>
    <row r="33553" ht="15"/>
    <row r="33554" ht="15"/>
    <row r="33555" ht="15"/>
    <row r="33556" ht="15"/>
    <row r="33557" ht="15"/>
    <row r="33558" ht="15"/>
    <row r="33559" ht="15"/>
    <row r="33560" ht="15"/>
    <row r="33561" ht="15"/>
    <row r="33562" ht="15"/>
    <row r="33563" ht="15"/>
    <row r="33564" ht="15"/>
    <row r="33565" ht="15"/>
    <row r="33566" ht="15"/>
    <row r="33567" ht="15"/>
    <row r="33568" ht="15"/>
    <row r="33569" ht="15"/>
    <row r="33570" ht="15"/>
    <row r="33571" ht="15"/>
    <row r="33572" ht="15"/>
    <row r="33573" ht="15"/>
    <row r="33574" ht="15"/>
    <row r="33575" ht="15"/>
    <row r="33576" ht="15"/>
    <row r="33577" ht="15"/>
    <row r="33578" ht="15"/>
    <row r="33579" ht="15"/>
    <row r="33580" ht="15"/>
    <row r="3358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52" ht="15"/>
    <row r="34053" ht="15"/>
    <row r="34054" ht="15"/>
    <row r="34055" ht="15"/>
    <row r="34056" ht="15"/>
    <row r="34057" ht="15"/>
    <row r="34058" ht="15"/>
    <row r="34059" ht="15"/>
    <row r="34060" ht="15"/>
    <row r="34061" ht="15"/>
    <row r="34062" ht="15"/>
    <row r="34063" ht="15"/>
    <row r="34064" ht="15"/>
    <row r="34065" ht="15"/>
    <row r="34066" ht="15"/>
    <row r="34067" ht="15"/>
    <row r="34068" ht="15"/>
    <row r="34069" ht="15"/>
    <row r="34070" ht="15"/>
    <row r="34071" ht="15"/>
    <row r="34072" ht="15"/>
    <row r="34073" ht="15"/>
    <row r="34074" ht="15"/>
    <row r="34075" ht="15"/>
    <row r="34076" ht="15"/>
    <row r="34077" ht="15"/>
    <row r="34078" ht="15"/>
    <row r="34079" ht="15"/>
    <row r="34080" ht="15"/>
    <row r="34081" ht="15"/>
    <row r="34082" ht="15"/>
    <row r="34083" ht="15"/>
    <row r="34084" ht="15"/>
    <row r="34085" ht="15"/>
    <row r="34086" ht="15"/>
    <row r="34087" ht="15"/>
    <row r="34088" ht="15"/>
    <row r="34089" ht="15"/>
    <row r="34090" ht="15"/>
    <row r="3409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562" ht="15"/>
    <row r="34563" ht="15"/>
    <row r="34564" ht="15"/>
    <row r="34565" ht="15"/>
    <row r="34566" ht="15"/>
    <row r="34567" ht="15"/>
    <row r="34568" ht="15"/>
    <row r="34569" ht="15"/>
    <row r="34570" ht="15"/>
    <row r="34571" ht="15"/>
    <row r="34572" ht="15"/>
    <row r="34573" ht="15"/>
    <row r="34574" ht="15"/>
    <row r="34575" ht="15"/>
    <row r="34576" ht="15"/>
    <row r="34577" ht="15"/>
    <row r="34578" ht="15"/>
    <row r="34579" ht="15"/>
    <row r="34580" ht="15"/>
    <row r="34581" ht="15"/>
    <row r="34582" ht="15"/>
    <row r="34583" ht="15"/>
    <row r="34584" ht="15"/>
    <row r="34585" ht="15"/>
    <row r="34586" ht="15"/>
    <row r="34587" ht="15"/>
    <row r="34588" ht="15"/>
    <row r="34589" ht="15"/>
    <row r="34590" ht="15"/>
    <row r="34591" ht="15"/>
    <row r="34592" ht="15"/>
    <row r="34593" ht="15"/>
    <row r="34594" ht="15"/>
    <row r="34595" ht="15"/>
    <row r="34596" ht="15"/>
    <row r="34597" ht="15"/>
    <row r="34598" ht="15"/>
    <row r="34599" ht="15"/>
    <row r="34600" ht="15"/>
    <row r="3460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072" ht="15"/>
    <row r="35073" ht="15"/>
    <row r="35074" ht="15"/>
    <row r="35075" ht="15"/>
    <row r="35076" ht="15"/>
    <row r="35077" ht="15"/>
    <row r="35078" ht="15"/>
    <row r="35079" ht="15"/>
    <row r="35080" ht="15"/>
    <row r="35081" ht="15"/>
    <row r="35082" ht="15"/>
    <row r="35083" ht="15"/>
    <row r="35084" ht="15"/>
    <row r="35085" ht="15"/>
    <row r="35086" ht="15"/>
    <row r="35087" ht="15"/>
    <row r="35088" ht="15"/>
    <row r="35089" ht="15"/>
    <row r="35090" ht="15"/>
    <row r="35091" ht="15"/>
    <row r="35092" ht="15"/>
    <row r="35093" ht="15"/>
    <row r="35094" ht="15"/>
    <row r="35095" ht="15"/>
    <row r="35096" ht="15"/>
    <row r="35097" ht="15"/>
    <row r="35098" ht="15"/>
    <row r="35099" ht="15"/>
    <row r="35100" ht="15"/>
    <row r="35101" ht="15"/>
    <row r="35102" ht="15"/>
    <row r="35103" ht="15"/>
    <row r="35104" ht="15"/>
    <row r="35105" ht="15"/>
    <row r="35106" ht="15"/>
    <row r="35107" ht="15"/>
    <row r="35108" ht="15"/>
    <row r="35109" ht="15"/>
    <row r="35110" ht="15"/>
    <row r="3511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582" ht="15"/>
    <row r="35583" ht="15"/>
    <row r="35584" ht="15"/>
    <row r="35585" ht="15"/>
    <row r="35586" ht="15"/>
    <row r="35587" ht="15"/>
    <row r="35588" ht="15"/>
    <row r="35589" ht="15"/>
    <row r="35590" ht="15"/>
    <row r="35591" ht="15"/>
    <row r="35592" ht="15"/>
    <row r="35593" ht="15"/>
    <row r="35594" ht="15"/>
    <row r="35595" ht="15"/>
    <row r="35596" ht="15"/>
    <row r="35597" ht="15"/>
    <row r="35598" ht="15"/>
    <row r="35599" ht="15"/>
    <row r="35600" ht="15"/>
    <row r="35601" ht="15"/>
    <row r="35602" ht="15"/>
    <row r="35603" ht="15"/>
    <row r="35604" ht="15"/>
    <row r="35605" ht="15"/>
    <row r="35606" ht="15"/>
    <row r="35607" ht="15"/>
    <row r="35608" ht="15"/>
    <row r="35609" ht="15"/>
    <row r="35610" ht="15"/>
    <row r="35611" ht="15"/>
    <row r="35612" ht="15"/>
    <row r="35613" ht="15"/>
    <row r="35614" ht="15"/>
    <row r="35615" ht="15"/>
    <row r="35616" ht="15"/>
    <row r="35617" ht="15"/>
    <row r="35618" ht="15"/>
    <row r="35619" ht="15"/>
    <row r="35620" ht="15"/>
    <row r="3562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092" ht="15"/>
    <row r="36093" ht="15"/>
    <row r="36094" ht="15"/>
    <row r="36095" ht="15"/>
    <row r="36096" ht="15"/>
    <row r="36097" ht="15"/>
    <row r="36098" ht="15"/>
    <row r="36099" ht="15"/>
    <row r="36100" ht="15"/>
    <row r="36101" ht="15"/>
    <row r="36102" ht="15"/>
    <row r="36103" ht="15"/>
    <row r="36104" ht="15"/>
    <row r="36105" ht="15"/>
    <row r="36106" ht="15"/>
    <row r="36107" ht="15"/>
    <row r="36108" ht="15"/>
    <row r="36109" ht="15"/>
    <row r="36110" ht="15"/>
    <row r="36111" ht="15"/>
    <row r="36112" ht="15"/>
    <row r="36113" ht="15"/>
    <row r="36114" ht="15"/>
    <row r="36115" ht="15"/>
    <row r="36116" ht="15"/>
    <row r="36117" ht="15"/>
    <row r="36118" ht="15"/>
    <row r="36119" ht="15"/>
    <row r="36120" ht="15"/>
    <row r="36121" ht="15"/>
    <row r="36122" ht="15"/>
    <row r="36123" ht="15"/>
    <row r="36124" ht="15"/>
    <row r="36125" ht="15"/>
    <row r="36126" ht="15"/>
    <row r="36127" ht="15"/>
    <row r="36128" ht="15"/>
    <row r="36129" ht="15"/>
    <row r="36130" ht="15"/>
    <row r="3613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02" ht="15"/>
    <row r="36603" ht="15"/>
    <row r="36604" ht="15"/>
    <row r="36605" ht="15"/>
    <row r="36606" ht="15"/>
    <row r="36607" ht="15"/>
    <row r="36608" ht="15"/>
    <row r="36609" ht="15"/>
    <row r="36610" ht="15"/>
    <row r="36611" ht="15"/>
    <row r="36612" ht="15"/>
    <row r="36613" ht="15"/>
    <row r="36614" ht="15"/>
    <row r="36615" ht="15"/>
    <row r="36616" ht="15"/>
    <row r="36617" ht="15"/>
    <row r="36618" ht="15"/>
    <row r="36619" ht="15"/>
    <row r="36620" ht="15"/>
    <row r="36621" ht="15"/>
    <row r="36622" ht="15"/>
    <row r="36623" ht="15"/>
    <row r="36624" ht="15"/>
    <row r="36625" ht="15"/>
    <row r="36626" ht="15"/>
    <row r="36627" ht="15"/>
    <row r="36628" ht="15"/>
    <row r="36629" ht="15"/>
    <row r="36630" ht="15"/>
    <row r="36631" ht="15"/>
    <row r="36632" ht="15"/>
    <row r="36633" ht="15"/>
    <row r="36634" ht="15"/>
    <row r="36635" ht="15"/>
    <row r="36636" ht="15"/>
    <row r="36637" ht="15"/>
    <row r="36638" ht="15"/>
    <row r="36639" ht="15"/>
    <row r="36640" ht="15"/>
    <row r="3664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12" ht="15"/>
    <row r="37113" ht="15"/>
    <row r="37114" ht="15"/>
    <row r="37115" ht="15"/>
    <row r="37116" ht="15"/>
    <row r="37117" ht="15"/>
    <row r="37118" ht="15"/>
    <row r="37119" ht="15"/>
    <row r="37120" ht="15"/>
    <row r="37121" ht="15"/>
    <row r="37122" ht="15"/>
    <row r="37123" ht="15"/>
    <row r="37124" ht="15"/>
    <row r="37125" ht="15"/>
    <row r="37126" ht="15"/>
    <row r="37127" ht="15"/>
    <row r="37128" ht="15"/>
    <row r="37129" ht="15"/>
    <row r="37130" ht="15"/>
    <row r="37131" ht="15"/>
    <row r="37132" ht="15"/>
    <row r="37133" ht="15"/>
    <row r="37134" ht="15"/>
    <row r="37135" ht="15"/>
    <row r="37136" ht="15"/>
    <row r="37137" ht="15"/>
    <row r="37138" ht="15"/>
    <row r="37139" ht="15"/>
    <row r="37140" ht="15"/>
    <row r="37141" ht="15"/>
    <row r="37142" ht="15"/>
    <row r="37143" ht="15"/>
    <row r="37144" ht="15"/>
    <row r="37145" ht="15"/>
    <row r="37146" ht="15"/>
    <row r="37147" ht="15"/>
    <row r="37148" ht="15"/>
    <row r="37149" ht="15"/>
    <row r="37150" ht="15"/>
    <row r="3715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22" ht="15"/>
    <row r="37623" ht="15"/>
    <row r="37624" ht="15"/>
    <row r="37625" ht="15"/>
    <row r="37626" ht="15"/>
    <row r="37627" ht="15"/>
    <row r="37628" ht="15"/>
    <row r="37629" ht="15"/>
    <row r="37630" ht="15"/>
    <row r="37631" ht="15"/>
    <row r="37632" ht="15"/>
    <row r="37633" ht="15"/>
    <row r="37634" ht="15"/>
    <row r="37635" ht="15"/>
    <row r="37636" ht="15"/>
    <row r="37637" ht="15"/>
    <row r="37638" ht="15"/>
    <row r="37639" ht="15"/>
    <row r="37640" ht="15"/>
    <row r="37641" ht="15"/>
    <row r="37642" ht="15"/>
    <row r="37643" ht="15"/>
    <row r="37644" ht="15"/>
    <row r="37645" ht="15"/>
    <row r="37646" ht="15"/>
    <row r="37647" ht="15"/>
    <row r="37648" ht="15"/>
    <row r="37649" ht="15"/>
    <row r="37650" ht="15"/>
    <row r="37651" ht="15"/>
    <row r="37652" ht="15"/>
    <row r="37653" ht="15"/>
    <row r="37654" ht="15"/>
    <row r="37655" ht="15"/>
    <row r="37656" ht="15"/>
    <row r="37657" ht="15"/>
    <row r="37658" ht="15"/>
    <row r="37659" ht="15"/>
    <row r="37660" ht="15"/>
    <row r="3766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32" ht="15"/>
    <row r="38133" ht="15"/>
    <row r="38134" ht="15"/>
    <row r="38135" ht="15"/>
    <row r="38136" ht="15"/>
    <row r="38137" ht="15"/>
    <row r="38138" ht="15"/>
    <row r="38139" ht="15"/>
    <row r="38140" ht="15"/>
    <row r="38141" ht="15"/>
    <row r="38142" ht="15"/>
    <row r="38143" ht="15"/>
    <row r="38144" ht="15"/>
    <row r="38145" ht="15"/>
    <row r="38146" ht="15"/>
    <row r="38147" ht="15"/>
    <row r="38148" ht="15"/>
    <row r="38149" ht="15"/>
    <row r="38150" ht="15"/>
    <row r="38151" ht="15"/>
    <row r="38152" ht="15"/>
    <row r="38153" ht="15"/>
    <row r="38154" ht="15"/>
    <row r="38155" ht="15"/>
    <row r="38156" ht="15"/>
    <row r="38157" ht="15"/>
    <row r="38158" ht="15"/>
    <row r="38159" ht="15"/>
    <row r="38160" ht="15"/>
    <row r="38161" ht="15"/>
    <row r="38162" ht="15"/>
    <row r="38163" ht="15"/>
    <row r="38164" ht="15"/>
    <row r="38165" ht="15"/>
    <row r="38166" ht="15"/>
    <row r="38167" ht="15"/>
    <row r="38168" ht="15"/>
    <row r="38169" ht="15"/>
    <row r="38170" ht="15"/>
    <row r="3817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42" ht="15"/>
    <row r="38643" ht="15"/>
    <row r="38644" ht="15"/>
    <row r="38645" ht="15"/>
    <row r="38646" ht="15"/>
    <row r="38647" ht="15"/>
    <row r="38648" ht="15"/>
    <row r="38649" ht="15"/>
    <row r="38650" ht="15"/>
    <row r="38651" ht="15"/>
    <row r="38652" ht="15"/>
    <row r="38653" ht="15"/>
    <row r="38654" ht="15"/>
    <row r="38655" ht="15"/>
    <row r="38656" ht="15"/>
    <row r="38657" ht="15"/>
    <row r="38658" ht="15"/>
    <row r="38659" ht="15"/>
    <row r="38660" ht="15"/>
    <row r="38661" ht="15"/>
    <row r="38662" ht="15"/>
    <row r="38663" ht="15"/>
    <row r="38664" ht="15"/>
    <row r="38665" ht="15"/>
    <row r="38666" ht="15"/>
    <row r="38667" ht="15"/>
    <row r="38668" ht="15"/>
    <row r="38669" ht="15"/>
    <row r="38670" ht="15"/>
    <row r="38671" ht="15"/>
    <row r="38672" ht="15"/>
    <row r="38673" ht="15"/>
    <row r="38674" ht="15"/>
    <row r="38675" ht="15"/>
    <row r="38676" ht="15"/>
    <row r="38677" ht="15"/>
    <row r="38678" ht="15"/>
    <row r="38679" ht="15"/>
    <row r="38680" ht="15"/>
    <row r="3868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52" ht="15"/>
    <row r="39153" ht="15"/>
    <row r="39154" ht="15"/>
    <row r="39155" ht="15"/>
    <row r="39156" ht="15"/>
    <row r="39157" ht="15"/>
    <row r="39158" ht="15"/>
    <row r="39159" ht="15"/>
    <row r="39160" ht="15"/>
    <row r="39161" ht="15"/>
    <row r="39162" ht="15"/>
    <row r="39163" ht="15"/>
    <row r="39164" ht="15"/>
    <row r="39165" ht="15"/>
    <row r="39166" ht="15"/>
    <row r="39167" ht="15"/>
    <row r="39168" ht="15"/>
    <row r="39169" ht="15"/>
    <row r="39170" ht="15"/>
    <row r="39171" ht="15"/>
    <row r="39172" ht="15"/>
    <row r="39173" ht="15"/>
    <row r="39174" ht="15"/>
    <row r="39175" ht="15"/>
    <row r="39176" ht="15"/>
    <row r="39177" ht="15"/>
    <row r="39178" ht="15"/>
    <row r="39179" ht="15"/>
    <row r="39180" ht="15"/>
    <row r="39181" ht="15"/>
    <row r="39182" ht="15"/>
    <row r="39183" ht="15"/>
    <row r="39184" ht="15"/>
    <row r="39185" ht="15"/>
    <row r="39186" ht="15"/>
    <row r="39187" ht="15"/>
    <row r="39188" ht="15"/>
    <row r="39189" ht="15"/>
    <row r="39190" ht="15"/>
    <row r="3919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662" ht="15"/>
    <row r="39663" ht="15"/>
    <row r="39664" ht="15"/>
    <row r="39665" ht="15"/>
    <row r="39666" ht="15"/>
    <row r="39667" ht="15"/>
    <row r="39668" ht="15"/>
    <row r="39669" ht="15"/>
    <row r="39670" ht="15"/>
    <row r="39671" ht="15"/>
    <row r="39672" ht="15"/>
    <row r="39673" ht="15"/>
    <row r="39674" ht="15"/>
    <row r="39675" ht="15"/>
    <row r="39676" ht="15"/>
    <row r="39677" ht="15"/>
    <row r="39678" ht="15"/>
    <row r="39679" ht="15"/>
    <row r="39680" ht="15"/>
    <row r="39681" ht="15"/>
    <row r="39682" ht="15"/>
    <row r="39683" ht="15"/>
    <row r="39684" ht="15"/>
    <row r="39685" ht="15"/>
    <row r="39686" ht="15"/>
    <row r="39687" ht="15"/>
    <row r="39688" ht="15"/>
    <row r="39689" ht="15"/>
    <row r="39690" ht="15"/>
    <row r="39691" ht="15"/>
    <row r="39692" ht="15"/>
    <row r="39693" ht="15"/>
    <row r="39694" ht="15"/>
    <row r="39695" ht="15"/>
    <row r="39696" ht="15"/>
    <row r="39697" ht="15"/>
    <row r="39698" ht="15"/>
    <row r="39699" ht="15"/>
    <row r="39700" ht="15"/>
    <row r="3970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172" ht="15"/>
    <row r="40173" ht="15"/>
    <row r="40174" ht="15"/>
    <row r="40175" ht="15"/>
    <row r="40176" ht="15"/>
    <row r="40177" ht="15"/>
    <row r="40178" ht="15"/>
    <row r="40179" ht="15"/>
    <row r="40180" ht="15"/>
    <row r="40181" ht="15"/>
    <row r="40182" ht="15"/>
    <row r="40183" ht="15"/>
    <row r="40184" ht="15"/>
    <row r="40185" ht="15"/>
    <row r="40186" ht="15"/>
    <row r="40187" ht="15"/>
    <row r="40188" ht="15"/>
    <row r="40189" ht="15"/>
    <row r="40190" ht="15"/>
    <row r="40191" ht="15"/>
    <row r="40192" ht="15"/>
    <row r="40193" ht="15"/>
    <row r="40194" ht="15"/>
    <row r="40195" ht="15"/>
    <row r="40196" ht="15"/>
    <row r="40197" ht="15"/>
    <row r="40198" ht="15"/>
    <row r="40199" ht="15"/>
    <row r="40200" ht="15"/>
    <row r="40201" ht="15"/>
    <row r="40202" ht="15"/>
    <row r="40203" ht="15"/>
    <row r="40204" ht="15"/>
    <row r="40205" ht="15"/>
    <row r="40206" ht="15"/>
    <row r="40207" ht="15"/>
    <row r="40208" ht="15"/>
    <row r="40209" ht="15"/>
    <row r="40210" ht="15"/>
    <row r="4021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682" ht="15"/>
    <row r="40683" ht="15"/>
    <row r="40684" ht="15"/>
    <row r="40685" ht="15"/>
    <row r="40686" ht="15"/>
    <row r="40687" ht="15"/>
    <row r="40688" ht="15"/>
    <row r="40689" ht="15"/>
    <row r="40690" ht="15"/>
    <row r="40691" ht="15"/>
    <row r="40692" ht="15"/>
    <row r="40693" ht="15"/>
    <row r="40694" ht="15"/>
    <row r="40695" ht="15"/>
    <row r="40696" ht="15"/>
    <row r="40697" ht="15"/>
    <row r="40698" ht="15"/>
    <row r="40699" ht="15"/>
    <row r="40700" ht="15"/>
    <row r="40701" ht="15"/>
    <row r="40702" ht="15"/>
    <row r="40703" ht="15"/>
    <row r="40704" ht="15"/>
    <row r="40705" ht="15"/>
    <row r="40706" ht="15"/>
    <row r="40707" ht="15"/>
    <row r="40708" ht="15"/>
    <row r="40709" ht="15"/>
    <row r="40710" ht="15"/>
    <row r="40711" ht="15"/>
    <row r="40712" ht="15"/>
    <row r="40713" ht="15"/>
    <row r="40714" ht="15"/>
    <row r="40715" ht="15"/>
    <row r="40716" ht="15"/>
    <row r="40717" ht="15"/>
    <row r="40718" ht="15"/>
    <row r="40719" ht="15"/>
    <row r="40720" ht="15"/>
    <row r="4072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192" ht="15"/>
    <row r="41193" ht="15"/>
    <row r="41194" ht="15"/>
    <row r="41195" ht="15"/>
    <row r="41196" ht="15"/>
    <row r="41197" ht="15"/>
    <row r="41198" ht="15"/>
    <row r="41199" ht="15"/>
    <row r="41200" ht="15"/>
    <row r="41201" ht="15"/>
    <row r="41202" ht="15"/>
    <row r="41203" ht="15"/>
    <row r="41204" ht="15"/>
    <row r="41205" ht="15"/>
    <row r="41206" ht="15"/>
    <row r="41207" ht="15"/>
    <row r="41208" ht="15"/>
    <row r="41209" ht="15"/>
    <row r="41210" ht="15"/>
    <row r="41211" ht="15"/>
    <row r="41212" ht="15"/>
    <row r="41213" ht="15"/>
    <row r="41214" ht="15"/>
    <row r="41215" ht="15"/>
    <row r="41216" ht="15"/>
    <row r="41217" ht="15"/>
    <row r="41218" ht="15"/>
    <row r="41219" ht="15"/>
    <row r="41220" ht="15"/>
    <row r="41221" ht="15"/>
    <row r="41222" ht="15"/>
    <row r="41223" ht="15"/>
    <row r="41224" ht="15"/>
    <row r="41225" ht="15"/>
    <row r="41226" ht="15"/>
    <row r="41227" ht="15"/>
    <row r="41228" ht="15"/>
    <row r="41229" ht="15"/>
    <row r="41230" ht="15"/>
    <row r="4123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02" ht="15"/>
    <row r="41703" ht="15"/>
    <row r="41704" ht="15"/>
    <row r="41705" ht="15"/>
    <row r="41706" ht="15"/>
    <row r="41707" ht="15"/>
    <row r="41708" ht="15"/>
    <row r="41709" ht="15"/>
    <row r="41710" ht="15"/>
    <row r="41711" ht="15"/>
    <row r="41712" ht="15"/>
    <row r="41713" ht="15"/>
    <row r="41714" ht="15"/>
    <row r="41715" ht="15"/>
    <row r="41716" ht="15"/>
    <row r="41717" ht="15"/>
    <row r="41718" ht="15"/>
    <row r="41719" ht="15"/>
    <row r="41720" ht="15"/>
    <row r="41721" ht="15"/>
    <row r="41722" ht="15"/>
    <row r="41723" ht="15"/>
    <row r="41724" ht="15"/>
    <row r="41725" ht="15"/>
    <row r="41726" ht="15"/>
    <row r="41727" ht="15"/>
    <row r="41728" ht="15"/>
    <row r="41729" ht="15"/>
    <row r="41730" ht="15"/>
    <row r="41731" ht="15"/>
    <row r="41732" ht="15"/>
    <row r="41733" ht="15"/>
    <row r="41734" ht="15"/>
    <row r="41735" ht="15"/>
    <row r="41736" ht="15"/>
    <row r="41737" ht="15"/>
    <row r="41738" ht="15"/>
    <row r="41739" ht="15"/>
    <row r="41740" ht="15"/>
    <row r="4174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12" ht="15"/>
    <row r="42213" ht="15"/>
    <row r="42214" ht="15"/>
    <row r="42215" ht="15"/>
    <row r="42216" ht="15"/>
    <row r="42217" ht="15"/>
    <row r="42218" ht="15"/>
    <row r="42219" ht="15"/>
    <row r="42220" ht="15"/>
    <row r="42221" ht="15"/>
    <row r="42222" ht="15"/>
    <row r="42223" ht="15"/>
    <row r="42224" ht="15"/>
    <row r="42225" ht="15"/>
    <row r="42226" ht="15"/>
    <row r="42227" ht="15"/>
    <row r="42228" ht="15"/>
    <row r="42229" ht="15"/>
    <row r="42230" ht="15"/>
    <row r="42231" ht="15"/>
    <row r="42232" ht="15"/>
    <row r="42233" ht="15"/>
    <row r="42234" ht="15"/>
    <row r="42235" ht="15"/>
    <row r="42236" ht="15"/>
    <row r="42237" ht="15"/>
    <row r="42238" ht="15"/>
    <row r="42239" ht="15"/>
    <row r="42240" ht="15"/>
    <row r="42241" ht="15"/>
    <row r="42242" ht="15"/>
    <row r="42243" ht="15"/>
    <row r="42244" ht="15"/>
    <row r="42245" ht="15"/>
    <row r="42246" ht="15"/>
    <row r="42247" ht="15"/>
    <row r="42248" ht="15"/>
    <row r="42249" ht="15"/>
    <row r="42250" ht="15"/>
    <row r="4225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22" ht="15"/>
    <row r="42723" ht="15"/>
    <row r="42724" ht="15"/>
    <row r="42725" ht="15"/>
    <row r="42726" ht="15"/>
    <row r="42727" ht="15"/>
    <row r="42728" ht="15"/>
    <row r="42729" ht="15"/>
    <row r="42730" ht="15"/>
    <row r="42731" ht="15"/>
    <row r="42732" ht="15"/>
    <row r="42733" ht="15"/>
    <row r="42734" ht="15"/>
    <row r="42735" ht="15"/>
    <row r="42736" ht="15"/>
    <row r="42737" ht="15"/>
    <row r="42738" ht="15"/>
    <row r="42739" ht="15"/>
    <row r="42740" ht="15"/>
    <row r="42741" ht="15"/>
    <row r="42742" ht="15"/>
    <row r="42743" ht="15"/>
    <row r="42744" ht="15"/>
    <row r="42745" ht="15"/>
    <row r="42746" ht="15"/>
    <row r="42747" ht="15"/>
    <row r="42748" ht="15"/>
    <row r="42749" ht="15"/>
    <row r="42750" ht="15"/>
    <row r="42751" ht="15"/>
    <row r="42752" ht="15"/>
    <row r="42753" ht="15"/>
    <row r="42754" ht="15"/>
    <row r="42755" ht="15"/>
    <row r="42756" ht="15"/>
    <row r="42757" ht="15"/>
    <row r="42758" ht="15"/>
    <row r="42759" ht="15"/>
    <row r="42760" ht="15"/>
    <row r="4276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32" ht="15"/>
    <row r="43233" ht="15"/>
    <row r="43234" ht="15"/>
    <row r="43235" ht="15"/>
    <row r="43236" ht="15"/>
    <row r="43237" ht="15"/>
    <row r="43238" ht="15"/>
    <row r="43239" ht="15"/>
    <row r="43240" ht="15"/>
    <row r="43241" ht="15"/>
    <row r="43242" ht="15"/>
    <row r="43243" ht="15"/>
    <row r="43244" ht="15"/>
    <row r="43245" ht="15"/>
    <row r="43246" ht="15"/>
    <row r="43247" ht="15"/>
    <row r="43248" ht="15"/>
    <row r="43249" ht="15"/>
    <row r="43250" ht="15"/>
    <row r="43251" ht="15"/>
    <row r="43252" ht="15"/>
    <row r="43253" ht="15"/>
    <row r="43254" ht="15"/>
    <row r="43255" ht="15"/>
    <row r="43256" ht="15"/>
    <row r="43257" ht="15"/>
    <row r="43258" ht="15"/>
    <row r="43259" ht="15"/>
    <row r="43260" ht="15"/>
    <row r="43261" ht="15"/>
    <row r="43262" ht="15"/>
    <row r="43263" ht="15"/>
    <row r="43264" ht="15"/>
    <row r="43265" ht="15"/>
    <row r="43266" ht="15"/>
    <row r="43267" ht="15"/>
    <row r="43268" ht="15"/>
    <row r="43269" ht="15"/>
    <row r="43270" ht="15"/>
    <row r="4327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42" ht="15"/>
    <row r="43743" ht="15"/>
    <row r="43744" ht="15"/>
    <row r="43745" ht="15"/>
    <row r="43746" ht="15"/>
    <row r="43747" ht="15"/>
    <row r="43748" ht="15"/>
    <row r="43749" ht="15"/>
    <row r="43750" ht="15"/>
    <row r="43751" ht="15"/>
    <row r="43752" ht="15"/>
    <row r="43753" ht="15"/>
    <row r="43754" ht="15"/>
    <row r="43755" ht="15"/>
    <row r="43756" ht="15"/>
    <row r="43757" ht="15"/>
    <row r="43758" ht="15"/>
    <row r="43759" ht="15"/>
    <row r="43760" ht="15"/>
    <row r="43761" ht="15"/>
    <row r="43762" ht="15"/>
    <row r="43763" ht="15"/>
    <row r="43764" ht="15"/>
    <row r="43765" ht="15"/>
    <row r="43766" ht="15"/>
    <row r="43767" ht="15"/>
    <row r="43768" ht="15"/>
    <row r="43769" ht="15"/>
    <row r="43770" ht="15"/>
    <row r="43771" ht="15"/>
    <row r="43772" ht="15"/>
    <row r="43773" ht="15"/>
    <row r="43774" ht="15"/>
    <row r="43775" ht="15"/>
    <row r="43776" ht="15"/>
    <row r="43777" ht="15"/>
    <row r="43778" ht="15"/>
    <row r="43779" ht="15"/>
    <row r="43780" ht="15"/>
    <row r="4378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52" ht="15"/>
    <row r="44253" ht="15"/>
    <row r="44254" ht="15"/>
    <row r="44255" ht="15"/>
    <row r="44256" ht="15"/>
    <row r="44257" ht="15"/>
    <row r="44258" ht="15"/>
    <row r="44259" ht="15"/>
    <row r="44260" ht="15"/>
    <row r="44261" ht="15"/>
    <row r="44262" ht="15"/>
    <row r="44263" ht="15"/>
    <row r="44264" ht="15"/>
    <row r="44265" ht="15"/>
    <row r="44266" ht="15"/>
    <row r="44267" ht="15"/>
    <row r="44268" ht="15"/>
    <row r="44269" ht="15"/>
    <row r="44270" ht="15"/>
    <row r="44271" ht="15"/>
    <row r="44272" ht="15"/>
    <row r="44273" ht="15"/>
    <row r="44274" ht="15"/>
    <row r="44275" ht="15"/>
    <row r="44276" ht="15"/>
    <row r="44277" ht="15"/>
    <row r="44278" ht="15"/>
    <row r="44279" ht="15"/>
    <row r="44280" ht="15"/>
    <row r="44281" ht="15"/>
    <row r="44282" ht="15"/>
    <row r="44283" ht="15"/>
    <row r="44284" ht="15"/>
    <row r="44285" ht="15"/>
    <row r="44286" ht="15"/>
    <row r="44287" ht="15"/>
    <row r="44288" ht="15"/>
    <row r="44289" ht="15"/>
    <row r="44290" ht="15"/>
    <row r="4429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762" ht="15"/>
    <row r="44763" ht="15"/>
    <row r="44764" ht="15"/>
    <row r="44765" ht="15"/>
    <row r="44766" ht="15"/>
    <row r="44767" ht="15"/>
    <row r="44768" ht="15"/>
    <row r="44769" ht="15"/>
    <row r="44770" ht="15"/>
    <row r="44771" ht="15"/>
    <row r="44772" ht="15"/>
    <row r="44773" ht="15"/>
    <row r="44774" ht="15"/>
    <row r="44775" ht="15"/>
    <row r="44776" ht="15"/>
    <row r="44777" ht="15"/>
    <row r="44778" ht="15"/>
    <row r="44779" ht="15"/>
    <row r="44780" ht="15"/>
    <row r="44781" ht="15"/>
    <row r="44782" ht="15"/>
    <row r="44783" ht="15"/>
    <row r="44784" ht="15"/>
    <row r="44785" ht="15"/>
    <row r="44786" ht="15"/>
    <row r="44787" ht="15"/>
    <row r="44788" ht="15"/>
    <row r="44789" ht="15"/>
    <row r="44790" ht="15"/>
    <row r="44791" ht="15"/>
    <row r="44792" ht="15"/>
    <row r="44793" ht="15"/>
    <row r="44794" ht="15"/>
    <row r="44795" ht="15"/>
    <row r="44796" ht="15"/>
    <row r="44797" ht="15"/>
    <row r="44798" ht="15"/>
    <row r="44799" ht="15"/>
    <row r="44800" ht="15"/>
    <row r="4480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272" ht="15"/>
    <row r="45273" ht="15"/>
    <row r="45274" ht="15"/>
    <row r="45275" ht="15"/>
    <row r="45276" ht="15"/>
    <row r="45277" ht="15"/>
    <row r="45278" ht="15"/>
    <row r="45279" ht="15"/>
    <row r="45280" ht="15"/>
    <row r="45281" ht="15"/>
    <row r="45282" ht="15"/>
    <row r="45283" ht="15"/>
    <row r="45284" ht="15"/>
    <row r="45285" ht="15"/>
    <row r="45286" ht="15"/>
    <row r="45287" ht="15"/>
    <row r="45288" ht="15"/>
    <row r="45289" ht="15"/>
    <row r="45290" ht="15"/>
    <row r="45291" ht="15"/>
    <row r="45292" ht="15"/>
    <row r="45293" ht="15"/>
    <row r="45294" ht="15"/>
    <row r="45295" ht="15"/>
    <row r="45296" ht="15"/>
    <row r="45297" ht="15"/>
    <row r="45298" ht="15"/>
    <row r="45299" ht="15"/>
    <row r="45300" ht="15"/>
    <row r="45301" ht="15"/>
    <row r="45302" ht="15"/>
    <row r="45303" ht="15"/>
    <row r="45304" ht="15"/>
    <row r="45305" ht="15"/>
    <row r="45306" ht="15"/>
    <row r="45307" ht="15"/>
    <row r="45308" ht="15"/>
    <row r="45309" ht="15"/>
    <row r="45310" ht="15"/>
    <row r="4531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782" ht="15"/>
    <row r="45783" ht="15"/>
    <row r="45784" ht="15"/>
    <row r="45785" ht="15"/>
    <row r="45786" ht="15"/>
    <row r="45787" ht="15"/>
    <row r="45788" ht="15"/>
    <row r="45789" ht="15"/>
    <row r="45790" ht="15"/>
    <row r="45791" ht="15"/>
    <row r="45792" ht="15"/>
    <row r="45793" ht="15"/>
    <row r="45794" ht="15"/>
    <row r="45795" ht="15"/>
    <row r="45796" ht="15"/>
    <row r="45797" ht="15"/>
    <row r="45798" ht="15"/>
    <row r="45799" ht="15"/>
    <row r="45800" ht="15"/>
    <row r="45801" ht="15"/>
    <row r="45802" ht="15"/>
    <row r="45803" ht="15"/>
    <row r="45804" ht="15"/>
    <row r="45805" ht="15"/>
    <row r="45806" ht="15"/>
    <row r="45807" ht="15"/>
    <row r="45808" ht="15"/>
    <row r="45809" ht="15"/>
    <row r="45810" ht="15"/>
    <row r="45811" ht="15"/>
    <row r="45812" ht="15"/>
    <row r="45813" ht="15"/>
    <row r="45814" ht="15"/>
    <row r="45815" ht="15"/>
    <row r="45816" ht="15"/>
    <row r="45817" ht="15"/>
    <row r="45818" ht="15"/>
    <row r="45819" ht="15"/>
    <row r="45820" ht="15"/>
    <row r="4582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292" ht="15"/>
    <row r="46293" ht="15"/>
    <row r="46294" ht="15"/>
    <row r="46295" ht="15"/>
    <row r="46296" ht="15"/>
    <row r="46297" ht="15"/>
    <row r="46298" ht="15"/>
    <row r="46299" ht="15"/>
    <row r="46300" ht="15"/>
    <row r="46301" ht="15"/>
    <row r="46302" ht="15"/>
    <row r="46303" ht="15"/>
    <row r="46304" ht="15"/>
    <row r="46305" ht="15"/>
    <row r="46306" ht="15"/>
    <row r="46307" ht="15"/>
    <row r="46308" ht="15"/>
    <row r="46309" ht="15"/>
    <row r="46310" ht="15"/>
    <row r="46311" ht="15"/>
    <row r="46312" ht="15"/>
    <row r="46313" ht="15"/>
    <row r="46314" ht="15"/>
    <row r="46315" ht="15"/>
    <row r="46316" ht="15"/>
    <row r="46317" ht="15"/>
    <row r="46318" ht="15"/>
    <row r="46319" ht="15"/>
    <row r="46320" ht="15"/>
    <row r="46321" ht="15"/>
    <row r="46322" ht="15"/>
    <row r="46323" ht="15"/>
    <row r="46324" ht="15"/>
    <row r="46325" ht="15"/>
    <row r="46326" ht="15"/>
    <row r="46327" ht="15"/>
    <row r="46328" ht="15"/>
    <row r="46329" ht="15"/>
    <row r="46330" ht="15"/>
    <row r="4633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02" ht="15"/>
    <row r="46803" ht="15"/>
    <row r="46804" ht="15"/>
    <row r="46805" ht="15"/>
    <row r="46806" ht="15"/>
    <row r="46807" ht="15"/>
    <row r="46808" ht="15"/>
    <row r="46809" ht="15"/>
    <row r="46810" ht="15"/>
    <row r="46811" ht="15"/>
    <row r="46812" ht="15"/>
    <row r="46813" ht="15"/>
    <row r="46814" ht="15"/>
    <row r="46815" ht="15"/>
    <row r="46816" ht="15"/>
    <row r="46817" ht="15"/>
    <row r="46818" ht="15"/>
    <row r="46819" ht="15"/>
    <row r="46820" ht="15"/>
    <row r="46821" ht="15"/>
    <row r="46822" ht="15"/>
    <row r="46823" ht="15"/>
    <row r="46824" ht="15"/>
    <row r="46825" ht="15"/>
    <row r="46826" ht="15"/>
    <row r="46827" ht="15"/>
    <row r="46828" ht="15"/>
    <row r="46829" ht="15"/>
    <row r="46830" ht="15"/>
    <row r="46831" ht="15"/>
    <row r="46832" ht="15"/>
    <row r="46833" ht="15"/>
    <row r="46834" ht="15"/>
    <row r="46835" ht="15"/>
    <row r="46836" ht="15"/>
    <row r="46837" ht="15"/>
    <row r="46838" ht="15"/>
    <row r="46839" ht="15"/>
    <row r="46840" ht="15"/>
    <row r="4684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12" ht="15"/>
    <row r="47313" ht="15"/>
    <row r="47314" ht="15"/>
    <row r="47315" ht="15"/>
    <row r="47316" ht="15"/>
    <row r="47317" ht="15"/>
    <row r="47318" ht="15"/>
    <row r="47319" ht="15"/>
    <row r="47320" ht="15"/>
    <row r="47321" ht="15"/>
    <row r="47322" ht="15"/>
    <row r="47323" ht="15"/>
    <row r="47324" ht="15"/>
    <row r="47325" ht="15"/>
    <row r="47326" ht="15"/>
    <row r="47327" ht="15"/>
    <row r="47328" ht="15"/>
    <row r="47329" ht="15"/>
    <row r="47330" ht="15"/>
    <row r="47331" ht="15"/>
    <row r="47332" ht="15"/>
    <row r="47333" ht="15"/>
    <row r="47334" ht="15"/>
    <row r="47335" ht="15"/>
    <row r="47336" ht="15"/>
    <row r="47337" ht="15"/>
    <row r="47338" ht="15"/>
    <row r="47339" ht="15"/>
    <row r="47340" ht="15"/>
    <row r="47341" ht="15"/>
    <row r="47342" ht="15"/>
    <row r="47343" ht="15"/>
    <row r="47344" ht="15"/>
    <row r="47345" ht="15"/>
    <row r="47346" ht="15"/>
    <row r="47347" ht="15"/>
    <row r="47348" ht="15"/>
    <row r="47349" ht="15"/>
    <row r="47350" ht="15"/>
    <row r="4735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22" ht="15"/>
    <row r="47823" ht="15"/>
    <row r="47824" ht="15"/>
    <row r="47825" ht="15"/>
    <row r="47826" ht="15"/>
    <row r="47827" ht="15"/>
    <row r="47828" ht="15"/>
    <row r="47829" ht="15"/>
    <row r="47830" ht="15"/>
    <row r="47831" ht="15"/>
    <row r="47832" ht="15"/>
    <row r="47833" ht="15"/>
    <row r="47834" ht="15"/>
    <row r="47835" ht="15"/>
    <row r="47836" ht="15"/>
    <row r="47837" ht="15"/>
    <row r="47838" ht="15"/>
    <row r="47839" ht="15"/>
    <row r="47840" ht="15"/>
    <row r="47841" ht="15"/>
    <row r="47842" ht="15"/>
    <row r="47843" ht="15"/>
    <row r="47844" ht="15"/>
    <row r="47845" ht="15"/>
    <row r="47846" ht="15"/>
    <row r="47847" ht="15"/>
    <row r="47848" ht="15"/>
    <row r="47849" ht="15"/>
    <row r="47850" ht="15"/>
    <row r="47851" ht="15"/>
    <row r="47852" ht="15"/>
    <row r="47853" ht="15"/>
    <row r="47854" ht="15"/>
    <row r="47855" ht="15"/>
    <row r="47856" ht="15"/>
    <row r="47857" ht="15"/>
    <row r="47858" ht="15"/>
    <row r="47859" ht="15"/>
    <row r="47860" ht="15"/>
    <row r="4786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32" ht="15"/>
    <row r="48333" ht="15"/>
    <row r="48334" ht="15"/>
    <row r="48335" ht="15"/>
    <row r="48336" ht="15"/>
    <row r="48337" ht="15"/>
    <row r="48338" ht="15"/>
    <row r="48339" ht="15"/>
    <row r="48340" ht="15"/>
    <row r="48341" ht="15"/>
    <row r="48342" ht="15"/>
    <row r="48343" ht="15"/>
    <row r="48344" ht="15"/>
    <row r="48345" ht="15"/>
    <row r="48346" ht="15"/>
    <row r="48347" ht="15"/>
    <row r="48348" ht="15"/>
    <row r="48349" ht="15"/>
    <row r="48350" ht="15"/>
    <row r="48351" ht="15"/>
    <row r="48352" ht="15"/>
    <row r="48353" ht="15"/>
    <row r="48354" ht="15"/>
    <row r="48355" ht="15"/>
    <row r="48356" ht="15"/>
    <row r="48357" ht="15"/>
    <row r="48358" ht="15"/>
    <row r="48359" ht="15"/>
    <row r="48360" ht="15"/>
    <row r="48361" ht="15"/>
    <row r="48362" ht="15"/>
    <row r="48363" ht="15"/>
    <row r="48364" ht="15"/>
    <row r="48365" ht="15"/>
    <row r="48366" ht="15"/>
    <row r="48367" ht="15"/>
    <row r="48368" ht="15"/>
    <row r="48369" ht="15"/>
    <row r="48370" ht="15"/>
    <row r="4837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42" ht="15"/>
    <row r="48843" ht="15"/>
    <row r="48844" ht="15"/>
    <row r="48845" ht="15"/>
    <row r="48846" ht="15"/>
    <row r="48847" ht="15"/>
    <row r="48848" ht="15"/>
    <row r="48849" ht="15"/>
    <row r="48850" ht="15"/>
    <row r="48851" ht="15"/>
    <row r="48852" ht="15"/>
    <row r="48853" ht="15"/>
    <row r="48854" ht="15"/>
    <row r="48855" ht="15"/>
    <row r="48856" ht="15"/>
    <row r="48857" ht="15"/>
    <row r="48858" ht="15"/>
    <row r="48859" ht="15"/>
    <row r="48860" ht="15"/>
    <row r="48861" ht="15"/>
    <row r="48862" ht="15"/>
    <row r="48863" ht="15"/>
    <row r="48864" ht="15"/>
    <row r="48865" ht="15"/>
    <row r="48866" ht="15"/>
    <row r="48867" ht="15"/>
    <row r="48868" ht="15"/>
    <row r="48869" ht="15"/>
    <row r="48870" ht="15"/>
    <row r="48871" ht="15"/>
    <row r="48872" ht="15"/>
    <row r="48873" ht="15"/>
    <row r="48874" ht="15"/>
    <row r="48875" ht="15"/>
    <row r="48876" ht="15"/>
    <row r="48877" ht="15"/>
    <row r="48878" ht="15"/>
    <row r="48879" ht="15"/>
    <row r="48880" ht="15"/>
    <row r="4888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52" ht="15"/>
    <row r="49353" ht="15"/>
    <row r="49354" ht="15"/>
    <row r="49355" ht="15"/>
    <row r="49356" ht="15"/>
    <row r="49357" ht="15"/>
    <row r="49358" ht="15"/>
    <row r="49359" ht="15"/>
    <row r="49360" ht="15"/>
    <row r="49361" ht="15"/>
    <row r="49362" ht="15"/>
    <row r="49363" ht="15"/>
    <row r="49364" ht="15"/>
    <row r="49365" ht="15"/>
    <row r="49366" ht="15"/>
    <row r="49367" ht="15"/>
    <row r="49368" ht="15"/>
    <row r="49369" ht="15"/>
    <row r="49370" ht="15"/>
    <row r="49371" ht="15"/>
    <row r="49372" ht="15"/>
    <row r="49373" ht="15"/>
    <row r="49374" ht="15"/>
    <row r="49375" ht="15"/>
    <row r="49376" ht="15"/>
    <row r="49377" ht="15"/>
    <row r="49378" ht="15"/>
    <row r="49379" ht="15"/>
    <row r="49380" ht="15"/>
    <row r="49381" ht="15"/>
    <row r="49382" ht="15"/>
    <row r="49383" ht="15"/>
    <row r="49384" ht="15"/>
    <row r="49385" ht="15"/>
    <row r="49386" ht="15"/>
    <row r="49387" ht="15"/>
    <row r="49388" ht="15"/>
    <row r="49389" ht="15"/>
    <row r="49390" ht="15"/>
    <row r="4939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862" ht="15"/>
    <row r="49863" ht="15"/>
    <row r="49864" ht="15"/>
    <row r="49865" ht="15"/>
    <row r="49866" ht="15"/>
    <row r="49867" ht="15"/>
    <row r="49868" ht="15"/>
    <row r="49869" ht="15"/>
    <row r="49870" ht="15"/>
    <row r="49871" ht="15"/>
    <row r="49872" ht="15"/>
    <row r="49873" ht="15"/>
    <row r="49874" ht="15"/>
    <row r="49875" ht="15"/>
    <row r="49876" ht="15"/>
    <row r="49877" ht="15"/>
    <row r="49878" ht="15"/>
    <row r="49879" ht="15"/>
    <row r="49880" ht="15"/>
    <row r="49881" ht="15"/>
    <row r="49882" ht="15"/>
    <row r="49883" ht="15"/>
    <row r="49884" ht="15"/>
    <row r="49885" ht="15"/>
    <row r="49886" ht="15"/>
    <row r="49887" ht="15"/>
    <row r="49888" ht="15"/>
    <row r="49889" ht="15"/>
    <row r="49890" ht="15"/>
    <row r="49891" ht="15"/>
    <row r="49892" ht="15"/>
    <row r="49893" ht="15"/>
    <row r="49894" ht="15"/>
    <row r="49895" ht="15"/>
    <row r="49896" ht="15"/>
    <row r="49897" ht="15"/>
    <row r="49898" ht="15"/>
    <row r="49899" ht="15"/>
    <row r="49900" ht="15"/>
    <row r="4990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372" ht="15"/>
    <row r="50373" ht="15"/>
    <row r="50374" ht="15"/>
    <row r="50375" ht="15"/>
    <row r="50376" ht="15"/>
    <row r="50377" ht="15"/>
    <row r="50378" ht="15"/>
    <row r="50379" ht="15"/>
    <row r="50380" ht="15"/>
    <row r="50381" ht="15"/>
    <row r="50382" ht="15"/>
    <row r="50383" ht="15"/>
    <row r="50384" ht="15"/>
    <row r="50385" ht="15"/>
    <row r="50386" ht="15"/>
    <row r="50387" ht="15"/>
    <row r="50388" ht="15"/>
    <row r="50389" ht="15"/>
    <row r="50390" ht="15"/>
    <row r="50391" ht="15"/>
    <row r="50392" ht="15"/>
    <row r="50393" ht="15"/>
    <row r="50394" ht="15"/>
    <row r="50395" ht="15"/>
    <row r="50396" ht="15"/>
    <row r="50397" ht="15"/>
    <row r="50398" ht="15"/>
    <row r="50399" ht="15"/>
    <row r="50400" ht="15"/>
    <row r="50401" ht="15"/>
    <row r="50402" ht="15"/>
    <row r="50403" ht="15"/>
    <row r="50404" ht="15"/>
    <row r="50405" ht="15"/>
    <row r="50406" ht="15"/>
    <row r="50407" ht="15"/>
    <row r="50408" ht="15"/>
    <row r="50409" ht="15"/>
    <row r="50410" ht="15"/>
    <row r="5041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882" ht="15"/>
    <row r="50883" ht="15"/>
    <row r="50884" ht="15"/>
    <row r="50885" ht="15"/>
    <row r="50886" ht="15"/>
    <row r="50887" ht="15"/>
    <row r="50888" ht="15"/>
    <row r="50889" ht="15"/>
    <row r="50890" ht="15"/>
    <row r="50891" ht="15"/>
    <row r="50892" ht="15"/>
    <row r="50893" ht="15"/>
    <row r="50894" ht="15"/>
    <row r="50895" ht="15"/>
    <row r="50896" ht="15"/>
    <row r="50897" ht="15"/>
    <row r="50898" ht="15"/>
    <row r="50899" ht="15"/>
    <row r="50900" ht="15"/>
    <row r="50901" ht="15"/>
    <row r="50902" ht="15"/>
    <row r="50903" ht="15"/>
    <row r="50904" ht="15"/>
    <row r="50905" ht="15"/>
    <row r="50906" ht="15"/>
    <row r="50907" ht="15"/>
    <row r="50908" ht="15"/>
    <row r="50909" ht="15"/>
    <row r="50910" ht="15"/>
    <row r="50911" ht="15"/>
    <row r="50912" ht="15"/>
    <row r="50913" ht="15"/>
    <row r="50914" ht="15"/>
    <row r="50915" ht="15"/>
    <row r="50916" ht="15"/>
    <row r="50917" ht="15"/>
    <row r="50918" ht="15"/>
    <row r="50919" ht="15"/>
    <row r="50920" ht="15"/>
    <row r="5092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392" ht="15"/>
    <row r="51393" ht="15"/>
    <row r="51394" ht="15"/>
    <row r="51395" ht="15"/>
    <row r="51396" ht="15"/>
    <row r="51397" ht="15"/>
    <row r="51398" ht="15"/>
    <row r="51399" ht="15"/>
    <row r="51400" ht="15"/>
    <row r="51401" ht="15"/>
    <row r="51402" ht="15"/>
    <row r="51403" ht="15"/>
    <row r="51404" ht="15"/>
    <row r="51405" ht="15"/>
    <row r="51406" ht="15"/>
    <row r="51407" ht="15"/>
    <row r="51408" ht="15"/>
    <row r="51409" ht="15"/>
    <row r="51410" ht="15"/>
    <row r="51411" ht="15"/>
    <row r="51412" ht="15"/>
    <row r="51413" ht="15"/>
    <row r="51414" ht="15"/>
    <row r="51415" ht="15"/>
    <row r="51416" ht="15"/>
    <row r="51417" ht="15"/>
    <row r="51418" ht="15"/>
    <row r="51419" ht="15"/>
    <row r="51420" ht="15"/>
    <row r="51421" ht="15"/>
    <row r="51422" ht="15"/>
    <row r="51423" ht="15"/>
    <row r="51424" ht="15"/>
    <row r="51425" ht="15"/>
    <row r="51426" ht="15"/>
    <row r="51427" ht="15"/>
    <row r="51428" ht="15"/>
    <row r="51429" ht="15"/>
    <row r="51430" ht="15"/>
    <row r="5143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02" ht="15"/>
    <row r="51903" ht="15"/>
    <row r="51904" ht="15"/>
    <row r="51905" ht="15"/>
    <row r="51906" ht="15"/>
    <row r="51907" ht="15"/>
    <row r="51908" ht="15"/>
    <row r="51909" ht="15"/>
    <row r="51910" ht="15"/>
    <row r="51911" ht="15"/>
    <row r="51912" ht="15"/>
    <row r="51913" ht="15"/>
    <row r="51914" ht="15"/>
    <row r="51915" ht="15"/>
    <row r="51916" ht="15"/>
    <row r="51917" ht="15"/>
    <row r="51918" ht="15"/>
    <row r="51919" ht="15"/>
    <row r="51920" ht="15"/>
    <row r="51921" ht="15"/>
    <row r="51922" ht="15"/>
    <row r="51923" ht="15"/>
    <row r="51924" ht="15"/>
    <row r="51925" ht="15"/>
    <row r="51926" ht="15"/>
    <row r="51927" ht="15"/>
    <row r="51928" ht="15"/>
    <row r="51929" ht="15"/>
    <row r="51930" ht="15"/>
    <row r="51931" ht="15"/>
    <row r="51932" ht="15"/>
    <row r="51933" ht="15"/>
    <row r="51934" ht="15"/>
    <row r="51935" ht="15"/>
    <row r="51936" ht="15"/>
    <row r="51937" ht="15"/>
    <row r="51938" ht="15"/>
    <row r="51939" ht="15"/>
    <row r="51940" ht="15"/>
    <row r="5194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12" ht="15"/>
    <row r="52413" ht="15"/>
    <row r="52414" ht="15"/>
    <row r="52415" ht="15"/>
    <row r="52416" ht="15"/>
    <row r="52417" ht="15"/>
    <row r="52418" ht="15"/>
    <row r="52419" ht="15"/>
    <row r="52420" ht="15"/>
    <row r="52421" ht="15"/>
    <row r="52422" ht="15"/>
    <row r="52423" ht="15"/>
    <row r="52424" ht="15"/>
    <row r="52425" ht="15"/>
    <row r="52426" ht="15"/>
    <row r="52427" ht="15"/>
    <row r="52428" ht="15"/>
    <row r="52429" ht="15"/>
    <row r="52430" ht="15"/>
    <row r="52431" ht="15"/>
    <row r="52432" ht="15"/>
    <row r="52433" ht="15"/>
    <row r="52434" ht="15"/>
    <row r="52435" ht="15"/>
    <row r="52436" ht="15"/>
    <row r="52437" ht="15"/>
    <row r="52438" ht="15"/>
    <row r="52439" ht="15"/>
    <row r="52440" ht="15"/>
    <row r="52441" ht="15"/>
    <row r="52442" ht="15"/>
    <row r="52443" ht="15"/>
    <row r="52444" ht="15"/>
    <row r="52445" ht="15"/>
    <row r="52446" ht="15"/>
    <row r="52447" ht="15"/>
    <row r="52448" ht="15"/>
    <row r="52449" ht="15"/>
    <row r="52450" ht="15"/>
    <row r="5245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22" ht="15"/>
    <row r="52923" ht="15"/>
    <row r="52924" ht="15"/>
    <row r="52925" ht="15"/>
    <row r="52926" ht="15"/>
    <row r="52927" ht="15"/>
    <row r="52928" ht="15"/>
    <row r="52929" ht="15"/>
    <row r="52930" ht="15"/>
    <row r="52931" ht="15"/>
    <row r="52932" ht="15"/>
    <row r="52933" ht="15"/>
    <row r="52934" ht="15"/>
    <row r="52935" ht="15"/>
    <row r="52936" ht="15"/>
    <row r="52937" ht="15"/>
    <row r="52938" ht="15"/>
    <row r="52939" ht="15"/>
    <row r="52940" ht="15"/>
    <row r="52941" ht="15"/>
    <row r="52942" ht="15"/>
    <row r="52943" ht="15"/>
    <row r="52944" ht="15"/>
    <row r="52945" ht="15"/>
    <row r="52946" ht="15"/>
    <row r="52947" ht="15"/>
    <row r="52948" ht="15"/>
    <row r="52949" ht="15"/>
    <row r="52950" ht="15"/>
    <row r="52951" ht="15"/>
    <row r="52952" ht="15"/>
    <row r="52953" ht="15"/>
    <row r="52954" ht="15"/>
    <row r="52955" ht="15"/>
    <row r="52956" ht="15"/>
    <row r="52957" ht="15"/>
    <row r="52958" ht="15"/>
    <row r="52959" ht="15"/>
    <row r="52960" ht="15"/>
    <row r="5296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32" ht="15"/>
    <row r="53433" ht="15"/>
    <row r="53434" ht="15"/>
    <row r="53435" ht="15"/>
    <row r="53436" ht="15"/>
    <row r="53437" ht="15"/>
    <row r="53438" ht="15"/>
    <row r="53439" ht="15"/>
    <row r="53440" ht="15"/>
    <row r="53441" ht="15"/>
    <row r="53442" ht="15"/>
    <row r="53443" ht="15"/>
    <row r="53444" ht="15"/>
    <row r="53445" ht="15"/>
    <row r="53446" ht="15"/>
    <row r="53447" ht="15"/>
    <row r="53448" ht="15"/>
    <row r="53449" ht="15"/>
    <row r="53450" ht="15"/>
    <row r="53451" ht="15"/>
    <row r="53452" ht="15"/>
    <row r="53453" ht="15"/>
    <row r="53454" ht="15"/>
    <row r="53455" ht="15"/>
    <row r="53456" ht="15"/>
    <row r="53457" ht="15"/>
    <row r="53458" ht="15"/>
    <row r="53459" ht="15"/>
    <row r="53460" ht="15"/>
    <row r="53461" ht="15"/>
    <row r="53462" ht="15"/>
    <row r="53463" ht="15"/>
    <row r="53464" ht="15"/>
    <row r="53465" ht="15"/>
    <row r="53466" ht="15"/>
    <row r="53467" ht="15"/>
    <row r="53468" ht="15"/>
    <row r="53469" ht="15"/>
    <row r="53470" ht="15"/>
    <row r="5347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42" ht="15"/>
    <row r="53943" ht="15"/>
    <row r="53944" ht="15"/>
    <row r="53945" ht="15"/>
    <row r="53946" ht="15"/>
    <row r="53947" ht="15"/>
    <row r="53948" ht="15"/>
    <row r="53949" ht="15"/>
    <row r="53950" ht="15"/>
    <row r="53951" ht="15"/>
    <row r="53952" ht="15"/>
    <row r="53953" ht="15"/>
    <row r="53954" ht="15"/>
    <row r="53955" ht="15"/>
    <row r="53956" ht="15"/>
    <row r="53957" ht="15"/>
    <row r="53958" ht="15"/>
    <row r="53959" ht="15"/>
    <row r="53960" ht="15"/>
    <row r="53961" ht="15"/>
    <row r="53962" ht="15"/>
    <row r="53963" ht="15"/>
    <row r="53964" ht="15"/>
    <row r="53965" ht="15"/>
    <row r="53966" ht="15"/>
    <row r="53967" ht="15"/>
    <row r="53968" ht="15"/>
    <row r="53969" ht="15"/>
    <row r="53970" ht="15"/>
    <row r="53971" ht="15"/>
    <row r="53972" ht="15"/>
    <row r="53973" ht="15"/>
    <row r="53974" ht="15"/>
    <row r="53975" ht="15"/>
    <row r="53976" ht="15"/>
    <row r="53977" ht="15"/>
    <row r="53978" ht="15"/>
    <row r="53979" ht="15"/>
    <row r="53980" ht="15"/>
    <row r="5398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52" ht="15"/>
    <row r="54453" ht="15"/>
    <row r="54454" ht="15"/>
    <row r="54455" ht="15"/>
    <row r="54456" ht="15"/>
    <row r="54457" ht="15"/>
    <row r="54458" ht="15"/>
    <row r="54459" ht="15"/>
    <row r="54460" ht="15"/>
    <row r="54461" ht="15"/>
    <row r="54462" ht="15"/>
    <row r="54463" ht="15"/>
    <row r="54464" ht="15"/>
    <row r="54465" ht="15"/>
    <row r="54466" ht="15"/>
    <row r="54467" ht="15"/>
    <row r="54468" ht="15"/>
    <row r="54469" ht="15"/>
    <row r="54470" ht="15"/>
    <row r="54471" ht="15"/>
    <row r="54472" ht="15"/>
    <row r="54473" ht="15"/>
    <row r="54474" ht="15"/>
    <row r="54475" ht="15"/>
    <row r="54476" ht="15"/>
    <row r="54477" ht="15"/>
    <row r="54478" ht="15"/>
    <row r="54479" ht="15"/>
    <row r="54480" ht="15"/>
    <row r="54481" ht="15"/>
    <row r="54482" ht="15"/>
    <row r="54483" ht="15"/>
    <row r="54484" ht="15"/>
    <row r="54485" ht="15"/>
    <row r="54486" ht="15"/>
    <row r="54487" ht="15"/>
    <row r="54488" ht="15"/>
    <row r="54489" ht="15"/>
    <row r="54490" ht="15"/>
    <row r="5449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4962" ht="15"/>
    <row r="54963" ht="15"/>
    <row r="54964" ht="15"/>
    <row r="54965" ht="15"/>
    <row r="54966" ht="15"/>
    <row r="54967" ht="15"/>
    <row r="54968" ht="15"/>
    <row r="54969" ht="15"/>
    <row r="54970" ht="15"/>
    <row r="54971" ht="15"/>
    <row r="54972" ht="15"/>
    <row r="54973" ht="15"/>
    <row r="54974" ht="15"/>
    <row r="54975" ht="15"/>
    <row r="54976" ht="15"/>
    <row r="54977" ht="15"/>
    <row r="54978" ht="15"/>
    <row r="54979" ht="15"/>
    <row r="54980" ht="15"/>
    <row r="54981" ht="15"/>
    <row r="54982" ht="15"/>
    <row r="54983" ht="15"/>
    <row r="54984" ht="15"/>
    <row r="54985" ht="15"/>
    <row r="54986" ht="15"/>
    <row r="54987" ht="15"/>
    <row r="54988" ht="15"/>
    <row r="54989" ht="15"/>
    <row r="54990" ht="15"/>
    <row r="54991" ht="15"/>
    <row r="54992" ht="15"/>
    <row r="54993" ht="15"/>
    <row r="54994" ht="15"/>
    <row r="54995" ht="15"/>
    <row r="54996" ht="15"/>
    <row r="54997" ht="15"/>
    <row r="54998" ht="15"/>
    <row r="54999" ht="15"/>
    <row r="55000" ht="15"/>
    <row r="5500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472" ht="15"/>
    <row r="55473" ht="15"/>
    <row r="55474" ht="15"/>
    <row r="55475" ht="15"/>
    <row r="55476" ht="15"/>
    <row r="55477" ht="15"/>
    <row r="55478" ht="15"/>
    <row r="55479" ht="15"/>
    <row r="55480" ht="15"/>
    <row r="55481" ht="15"/>
    <row r="55482" ht="15"/>
    <row r="55483" ht="15"/>
    <row r="55484" ht="15"/>
    <row r="55485" ht="15"/>
    <row r="55486" ht="15"/>
    <row r="55487" ht="15"/>
    <row r="55488" ht="15"/>
    <row r="55489" ht="15"/>
    <row r="55490" ht="15"/>
    <row r="55491" ht="15"/>
    <row r="55492" ht="15"/>
    <row r="55493" ht="15"/>
    <row r="55494" ht="15"/>
    <row r="55495" ht="15"/>
    <row r="55496" ht="15"/>
    <row r="55497" ht="15"/>
    <row r="55498" ht="15"/>
    <row r="55499" ht="15"/>
    <row r="55500" ht="15"/>
    <row r="55501" ht="15"/>
    <row r="55502" ht="15"/>
    <row r="55503" ht="15"/>
    <row r="55504" ht="15"/>
    <row r="55505" ht="15"/>
    <row r="55506" ht="15"/>
    <row r="55507" ht="15"/>
    <row r="55508" ht="15"/>
    <row r="55509" ht="15"/>
    <row r="55510" ht="15"/>
    <row r="5551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5982" ht="15"/>
    <row r="55983" ht="15"/>
    <row r="55984" ht="15"/>
    <row r="55985" ht="15"/>
    <row r="55986" ht="15"/>
    <row r="55987" ht="15"/>
    <row r="55988" ht="15"/>
    <row r="55989" ht="15"/>
    <row r="55990" ht="15"/>
    <row r="55991" ht="15"/>
    <row r="55992" ht="15"/>
    <row r="55993" ht="15"/>
    <row r="55994" ht="15"/>
    <row r="55995" ht="15"/>
    <row r="55996" ht="15"/>
    <row r="55997" ht="15"/>
    <row r="55998" ht="15"/>
    <row r="55999" ht="15"/>
    <row r="56000" ht="15"/>
    <row r="56001" ht="15"/>
    <row r="56002" ht="15"/>
    <row r="56003" ht="15"/>
    <row r="56004" ht="15"/>
    <row r="56005" ht="15"/>
    <row r="56006" ht="15"/>
    <row r="56007" ht="15"/>
    <row r="56008" ht="15"/>
    <row r="56009" ht="15"/>
    <row r="56010" ht="15"/>
    <row r="56011" ht="15"/>
    <row r="56012" ht="15"/>
    <row r="56013" ht="15"/>
    <row r="56014" ht="15"/>
    <row r="56015" ht="15"/>
    <row r="56016" ht="15"/>
    <row r="56017" ht="15"/>
    <row r="56018" ht="15"/>
    <row r="56019" ht="15"/>
    <row r="56020" ht="15"/>
    <row r="5602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492" ht="15"/>
    <row r="56493" ht="15"/>
    <row r="56494" ht="15"/>
    <row r="56495" ht="15"/>
    <row r="56496" ht="15"/>
    <row r="56497" ht="15"/>
    <row r="56498" ht="15"/>
    <row r="56499" ht="15"/>
    <row r="56500" ht="15"/>
    <row r="56501" ht="15"/>
    <row r="56502" ht="15"/>
    <row r="56503" ht="15"/>
    <row r="56504" ht="15"/>
    <row r="56505" ht="15"/>
    <row r="56506" ht="15"/>
    <row r="56507" ht="15"/>
    <row r="56508" ht="15"/>
    <row r="56509" ht="15"/>
    <row r="56510" ht="15"/>
    <row r="56511" ht="15"/>
    <row r="56512" ht="15"/>
    <row r="56513" ht="15"/>
    <row r="56514" ht="15"/>
    <row r="56515" ht="15"/>
    <row r="56516" ht="15"/>
    <row r="56517" ht="15"/>
    <row r="56518" ht="15"/>
    <row r="56519" ht="15"/>
    <row r="56520" ht="15"/>
    <row r="56521" ht="15"/>
    <row r="56522" ht="15"/>
    <row r="56523" ht="15"/>
    <row r="56524" ht="15"/>
    <row r="56525" ht="15"/>
    <row r="56526" ht="15"/>
    <row r="56527" ht="15"/>
    <row r="56528" ht="15"/>
    <row r="56529" ht="15"/>
    <row r="56530" ht="15"/>
    <row r="5653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02" ht="15"/>
    <row r="57003" ht="15"/>
    <row r="57004" ht="15"/>
    <row r="57005" ht="15"/>
    <row r="57006" ht="15"/>
    <row r="57007" ht="15"/>
    <row r="57008" ht="15"/>
    <row r="57009" ht="15"/>
    <row r="57010" ht="15"/>
    <row r="57011" ht="15"/>
    <row r="57012" ht="15"/>
    <row r="57013" ht="15"/>
    <row r="57014" ht="15"/>
    <row r="57015" ht="15"/>
    <row r="57016" ht="15"/>
    <row r="57017" ht="15"/>
    <row r="57018" ht="15"/>
    <row r="57019" ht="15"/>
    <row r="57020" ht="15"/>
    <row r="57021" ht="15"/>
    <row r="57022" ht="15"/>
    <row r="57023" ht="15"/>
    <row r="57024" ht="15"/>
    <row r="57025" ht="15"/>
    <row r="57026" ht="15"/>
    <row r="57027" ht="15"/>
    <row r="57028" ht="15"/>
    <row r="57029" ht="15"/>
    <row r="57030" ht="15"/>
    <row r="57031" ht="15"/>
    <row r="57032" ht="15"/>
    <row r="57033" ht="15"/>
    <row r="57034" ht="15"/>
    <row r="57035" ht="15"/>
    <row r="57036" ht="15"/>
    <row r="57037" ht="15"/>
    <row r="57038" ht="15"/>
    <row r="57039" ht="15"/>
    <row r="57040" ht="15"/>
    <row r="5704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12" ht="15"/>
    <row r="57513" ht="15"/>
    <row r="57514" ht="15"/>
    <row r="57515" ht="15"/>
    <row r="57516" ht="15"/>
    <row r="57517" ht="15"/>
    <row r="57518" ht="15"/>
    <row r="57519" ht="15"/>
    <row r="57520" ht="15"/>
    <row r="57521" ht="15"/>
    <row r="57522" ht="15"/>
    <row r="57523" ht="15"/>
    <row r="57524" ht="15"/>
    <row r="57525" ht="15"/>
    <row r="57526" ht="15"/>
    <row r="57527" ht="15"/>
    <row r="57528" ht="15"/>
    <row r="57529" ht="15"/>
    <row r="57530" ht="15"/>
    <row r="57531" ht="15"/>
    <row r="57532" ht="15"/>
    <row r="57533" ht="15"/>
    <row r="57534" ht="15"/>
    <row r="57535" ht="15"/>
    <row r="57536" ht="15"/>
    <row r="57537" ht="15"/>
    <row r="57538" ht="15"/>
    <row r="57539" ht="15"/>
    <row r="57540" ht="15"/>
    <row r="57541" ht="15"/>
    <row r="57542" ht="15"/>
    <row r="57543" ht="15"/>
    <row r="57544" ht="15"/>
    <row r="57545" ht="15"/>
    <row r="57546" ht="15"/>
    <row r="57547" ht="15"/>
    <row r="57548" ht="15"/>
    <row r="57549" ht="15"/>
    <row r="57550" ht="15"/>
    <row r="5755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22" ht="15"/>
    <row r="58023" ht="15"/>
    <row r="58024" ht="15"/>
    <row r="58025" ht="15"/>
    <row r="58026" ht="15"/>
    <row r="58027" ht="15"/>
    <row r="58028" ht="15"/>
    <row r="58029" ht="15"/>
    <row r="58030" ht="15"/>
    <row r="58031" ht="15"/>
    <row r="58032" ht="15"/>
    <row r="58033" ht="15"/>
    <row r="58034" ht="15"/>
    <row r="58035" ht="15"/>
    <row r="58036" ht="15"/>
    <row r="58037" ht="15"/>
    <row r="58038" ht="15"/>
    <row r="58039" ht="15"/>
    <row r="58040" ht="15"/>
    <row r="58041" ht="15"/>
    <row r="58042" ht="15"/>
    <row r="58043" ht="15"/>
    <row r="58044" ht="15"/>
    <row r="58045" ht="15"/>
    <row r="58046" ht="15"/>
    <row r="58047" ht="15"/>
    <row r="58048" ht="15"/>
    <row r="58049" ht="15"/>
    <row r="58050" ht="15"/>
    <row r="58051" ht="15"/>
    <row r="58052" ht="15"/>
    <row r="58053" ht="15"/>
    <row r="58054" ht="15"/>
    <row r="58055" ht="15"/>
    <row r="58056" ht="15"/>
    <row r="58057" ht="15"/>
    <row r="58058" ht="15"/>
    <row r="58059" ht="15"/>
    <row r="58060" ht="15"/>
    <row r="5806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32" ht="15"/>
    <row r="58533" ht="15"/>
    <row r="58534" ht="15"/>
    <row r="58535" ht="15"/>
    <row r="58536" ht="15"/>
    <row r="58537" ht="15"/>
    <row r="58538" ht="15"/>
    <row r="58539" ht="15"/>
    <row r="58540" ht="15"/>
    <row r="58541" ht="15"/>
    <row r="58542" ht="15"/>
    <row r="58543" ht="15"/>
    <row r="58544" ht="15"/>
    <row r="58545" ht="15"/>
    <row r="58546" ht="15"/>
    <row r="58547" ht="15"/>
    <row r="58548" ht="15"/>
    <row r="58549" ht="15"/>
    <row r="58550" ht="15"/>
    <row r="58551" ht="15"/>
    <row r="58552" ht="15"/>
    <row r="58553" ht="15"/>
    <row r="58554" ht="15"/>
    <row r="58555" ht="15"/>
    <row r="58556" ht="15"/>
    <row r="58557" ht="15"/>
    <row r="58558" ht="15"/>
    <row r="58559" ht="15"/>
    <row r="58560" ht="15"/>
    <row r="58561" ht="15"/>
    <row r="58562" ht="15"/>
    <row r="58563" ht="15"/>
    <row r="58564" ht="15"/>
    <row r="58565" ht="15"/>
    <row r="58566" ht="15"/>
    <row r="58567" ht="15"/>
    <row r="58568" ht="15"/>
    <row r="58569" ht="15"/>
    <row r="58570" ht="15"/>
    <row r="5857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42" ht="15"/>
    <row r="59043" ht="15"/>
    <row r="59044" ht="15"/>
    <row r="59045" ht="15"/>
    <row r="59046" ht="15"/>
    <row r="59047" ht="15"/>
    <row r="59048" ht="15"/>
    <row r="59049" ht="15"/>
    <row r="59050" ht="15"/>
    <row r="59051" ht="15"/>
    <row r="59052" ht="15"/>
    <row r="59053" ht="15"/>
    <row r="59054" ht="15"/>
    <row r="59055" ht="15"/>
    <row r="59056" ht="15"/>
    <row r="59057" ht="15"/>
    <row r="59058" ht="15"/>
    <row r="59059" ht="15"/>
    <row r="59060" ht="15"/>
    <row r="59061" ht="15"/>
    <row r="59062" ht="15"/>
    <row r="59063" ht="15"/>
    <row r="59064" ht="15"/>
    <row r="59065" ht="15"/>
    <row r="59066" ht="15"/>
    <row r="59067" ht="15"/>
    <row r="59068" ht="15"/>
    <row r="59069" ht="15"/>
    <row r="59070" ht="15"/>
    <row r="59071" ht="15"/>
    <row r="59072" ht="15"/>
    <row r="59073" ht="15"/>
    <row r="59074" ht="15"/>
    <row r="59075" ht="15"/>
    <row r="59076" ht="15"/>
    <row r="59077" ht="15"/>
    <row r="59078" ht="15"/>
    <row r="59079" ht="15"/>
    <row r="59080" ht="15"/>
    <row r="5908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52" ht="15"/>
    <row r="59553" ht="15"/>
    <row r="59554" ht="15"/>
    <row r="59555" ht="15"/>
    <row r="59556" ht="15"/>
    <row r="59557" ht="15"/>
    <row r="59558" ht="15"/>
    <row r="59559" ht="15"/>
    <row r="59560" ht="15"/>
    <row r="59561" ht="15"/>
    <row r="59562" ht="15"/>
    <row r="59563" ht="15"/>
    <row r="59564" ht="15"/>
    <row r="59565" ht="15"/>
    <row r="59566" ht="15"/>
    <row r="59567" ht="15"/>
    <row r="59568" ht="15"/>
    <row r="59569" ht="15"/>
    <row r="59570" ht="15"/>
    <row r="59571" ht="15"/>
    <row r="59572" ht="15"/>
    <row r="59573" ht="15"/>
    <row r="59574" ht="15"/>
    <row r="59575" ht="15"/>
    <row r="59576" ht="15"/>
    <row r="59577" ht="15"/>
    <row r="59578" ht="15"/>
    <row r="59579" ht="15"/>
    <row r="59580" ht="15"/>
    <row r="59581" ht="15"/>
    <row r="59582" ht="15"/>
    <row r="59583" ht="15"/>
    <row r="59584" ht="15"/>
    <row r="59585" ht="15"/>
    <row r="59586" ht="15"/>
    <row r="59587" ht="15"/>
    <row r="59588" ht="15"/>
    <row r="59589" ht="15"/>
    <row r="59590" ht="15"/>
    <row r="5959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062" ht="15"/>
    <row r="60063" ht="15"/>
    <row r="60064" ht="15"/>
    <row r="60065" ht="15"/>
    <row r="60066" ht="15"/>
    <row r="60067" ht="15"/>
    <row r="60068" ht="15"/>
    <row r="60069" ht="15"/>
    <row r="60070" ht="15"/>
    <row r="60071" ht="15"/>
    <row r="60072" ht="15"/>
    <row r="60073" ht="15"/>
    <row r="60074" ht="15"/>
    <row r="60075" ht="15"/>
    <row r="60076" ht="15"/>
    <row r="60077" ht="15"/>
    <row r="60078" ht="15"/>
    <row r="60079" ht="15"/>
    <row r="60080" ht="15"/>
    <row r="60081" ht="15"/>
    <row r="60082" ht="15"/>
    <row r="60083" ht="15"/>
    <row r="60084" ht="15"/>
    <row r="60085" ht="15"/>
    <row r="60086" ht="15"/>
    <row r="60087" ht="15"/>
    <row r="60088" ht="15"/>
    <row r="60089" ht="15"/>
    <row r="60090" ht="15"/>
    <row r="60091" ht="15"/>
    <row r="60092" ht="15"/>
    <row r="60093" ht="15"/>
    <row r="60094" ht="15"/>
    <row r="60095" ht="15"/>
    <row r="60096" ht="15"/>
    <row r="60097" ht="15"/>
    <row r="60098" ht="15"/>
    <row r="60099" ht="15"/>
    <row r="60100" ht="15"/>
    <row r="6010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572" ht="15"/>
    <row r="60573" ht="15"/>
    <row r="60574" ht="15"/>
    <row r="60575" ht="15"/>
    <row r="60576" ht="15"/>
    <row r="60577" ht="15"/>
    <row r="60578" ht="15"/>
    <row r="60579" ht="15"/>
    <row r="60580" ht="15"/>
    <row r="60581" ht="15"/>
    <row r="60582" ht="15"/>
    <row r="60583" ht="15"/>
    <row r="60584" ht="15"/>
    <row r="60585" ht="15"/>
    <row r="60586" ht="15"/>
    <row r="60587" ht="15"/>
    <row r="60588" ht="15"/>
    <row r="60589" ht="15"/>
    <row r="60590" ht="15"/>
    <row r="60591" ht="15"/>
    <row r="60592" ht="15"/>
    <row r="60593" ht="15"/>
    <row r="60594" ht="15"/>
    <row r="60595" ht="15"/>
    <row r="60596" ht="15"/>
    <row r="60597" ht="15"/>
    <row r="60598" ht="15"/>
    <row r="60599" ht="15"/>
    <row r="60600" ht="15"/>
    <row r="60601" ht="15"/>
    <row r="60602" ht="15"/>
    <row r="60603" ht="15"/>
    <row r="60604" ht="15"/>
    <row r="60605" ht="15"/>
    <row r="60606" ht="15"/>
    <row r="60607" ht="15"/>
    <row r="60608" ht="15"/>
    <row r="60609" ht="15"/>
    <row r="60610" ht="15"/>
    <row r="6061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082" ht="15"/>
    <row r="61083" ht="15"/>
    <row r="61084" ht="15"/>
    <row r="61085" ht="15"/>
    <row r="61086" ht="15"/>
    <row r="61087" ht="15"/>
    <row r="61088" ht="15"/>
    <row r="61089" ht="15"/>
    <row r="61090" ht="15"/>
    <row r="61091" ht="15"/>
    <row r="61092" ht="15"/>
    <row r="61093" ht="15"/>
    <row r="61094" ht="15"/>
    <row r="61095" ht="15"/>
    <row r="61096" ht="15"/>
    <row r="61097" ht="15"/>
    <row r="61098" ht="15"/>
    <row r="61099" ht="15"/>
    <row r="61100" ht="15"/>
    <row r="61101" ht="15"/>
    <row r="61102" ht="15"/>
    <row r="61103" ht="15"/>
    <row r="61104" ht="15"/>
    <row r="61105" ht="15"/>
    <row r="61106" ht="15"/>
    <row r="61107" ht="15"/>
    <row r="61108" ht="15"/>
    <row r="61109" ht="15"/>
    <row r="61110" ht="15"/>
    <row r="61111" ht="15"/>
    <row r="61112" ht="15"/>
    <row r="61113" ht="15"/>
    <row r="61114" ht="15"/>
    <row r="61115" ht="15"/>
    <row r="61116" ht="15"/>
    <row r="61117" ht="15"/>
    <row r="61118" ht="15"/>
    <row r="61119" ht="15"/>
    <row r="61120" ht="15"/>
    <row r="6112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592" ht="15"/>
    <row r="61593" ht="15"/>
    <row r="61594" ht="15"/>
    <row r="61595" ht="15"/>
    <row r="61596" ht="15"/>
    <row r="61597" ht="15"/>
    <row r="61598" ht="15"/>
    <row r="61599" ht="15"/>
    <row r="61600" ht="15"/>
    <row r="61601" ht="15"/>
    <row r="61602" ht="15"/>
    <row r="61603" ht="15"/>
    <row r="61604" ht="15"/>
    <row r="61605" ht="15"/>
    <row r="61606" ht="15"/>
    <row r="61607" ht="15"/>
    <row r="61608" ht="15"/>
    <row r="61609" ht="15"/>
    <row r="61610" ht="15"/>
    <row r="61611" ht="15"/>
    <row r="61612" ht="15"/>
    <row r="61613" ht="15"/>
    <row r="61614" ht="15"/>
    <row r="61615" ht="15"/>
    <row r="61616" ht="15"/>
    <row r="61617" ht="15"/>
    <row r="61618" ht="15"/>
    <row r="61619" ht="15"/>
    <row r="61620" ht="15"/>
    <row r="61621" ht="15"/>
    <row r="61622" ht="15"/>
    <row r="61623" ht="15"/>
    <row r="61624" ht="15"/>
    <row r="61625" ht="15"/>
    <row r="61626" ht="15"/>
    <row r="61627" ht="15"/>
    <row r="61628" ht="15"/>
    <row r="61629" ht="15"/>
    <row r="61630" ht="15"/>
    <row r="6163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02" ht="15"/>
    <row r="62103" ht="15"/>
    <row r="62104" ht="15"/>
    <row r="62105" ht="15"/>
    <row r="62106" ht="15"/>
    <row r="62107" ht="15"/>
    <row r="62108" ht="15"/>
    <row r="62109" ht="15"/>
    <row r="62110" ht="15"/>
    <row r="62111" ht="15"/>
    <row r="62112" ht="15"/>
    <row r="62113" ht="15"/>
    <row r="62114" ht="15"/>
    <row r="62115" ht="15"/>
    <row r="62116" ht="15"/>
    <row r="62117" ht="15"/>
    <row r="62118" ht="15"/>
    <row r="62119" ht="15"/>
    <row r="62120" ht="15"/>
    <row r="62121" ht="15"/>
    <row r="62122" ht="15"/>
    <row r="62123" ht="15"/>
    <row r="62124" ht="15"/>
    <row r="62125" ht="15"/>
    <row r="62126" ht="15"/>
    <row r="62127" ht="15"/>
    <row r="62128" ht="15"/>
    <row r="62129" ht="15"/>
    <row r="62130" ht="15"/>
    <row r="62131" ht="15"/>
    <row r="62132" ht="15"/>
    <row r="62133" ht="15"/>
    <row r="62134" ht="15"/>
    <row r="62135" ht="15"/>
    <row r="62136" ht="15"/>
    <row r="62137" ht="15"/>
    <row r="62138" ht="15"/>
    <row r="62139" ht="15"/>
    <row r="62140" ht="15"/>
    <row r="6214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12" ht="15"/>
    <row r="62613" ht="15"/>
    <row r="62614" ht="15"/>
    <row r="62615" ht="15"/>
    <row r="62616" ht="15"/>
    <row r="62617" ht="15"/>
    <row r="62618" ht="15"/>
    <row r="62619" ht="15"/>
    <row r="62620" ht="15"/>
    <row r="62621" ht="15"/>
    <row r="62622" ht="15"/>
    <row r="62623" ht="15"/>
    <row r="62624" ht="15"/>
    <row r="62625" ht="15"/>
    <row r="62626" ht="15"/>
    <row r="62627" ht="15"/>
    <row r="62628" ht="15"/>
    <row r="62629" ht="15"/>
    <row r="62630" ht="15"/>
    <row r="62631" ht="15"/>
    <row r="62632" ht="15"/>
    <row r="62633" ht="15"/>
    <row r="62634" ht="15"/>
    <row r="62635" ht="15"/>
    <row r="62636" ht="15"/>
    <row r="62637" ht="15"/>
    <row r="62638" ht="15"/>
    <row r="62639" ht="15"/>
    <row r="62640" ht="15"/>
    <row r="62641" ht="15"/>
    <row r="62642" ht="15"/>
    <row r="62643" ht="15"/>
    <row r="62644" ht="15"/>
    <row r="62645" ht="15"/>
    <row r="62646" ht="15"/>
    <row r="62647" ht="15"/>
    <row r="62648" ht="15"/>
    <row r="62649" ht="15"/>
    <row r="62650" ht="15"/>
    <row r="6265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22" ht="15"/>
    <row r="63123" ht="15"/>
    <row r="63124" ht="15"/>
    <row r="63125" ht="15"/>
    <row r="63126" ht="15"/>
    <row r="63127" ht="15"/>
    <row r="63128" ht="15"/>
    <row r="63129" ht="15"/>
    <row r="63130" ht="15"/>
    <row r="63131" ht="15"/>
    <row r="63132" ht="15"/>
    <row r="63133" ht="15"/>
    <row r="63134" ht="15"/>
    <row r="63135" ht="15"/>
    <row r="63136" ht="15"/>
    <row r="63137" ht="15"/>
    <row r="63138" ht="15"/>
    <row r="63139" ht="15"/>
    <row r="63140" ht="15"/>
    <row r="63141" ht="15"/>
    <row r="63142" ht="15"/>
    <row r="63143" ht="15"/>
    <row r="63144" ht="15"/>
    <row r="63145" ht="15"/>
    <row r="63146" ht="15"/>
    <row r="63147" ht="15"/>
    <row r="63148" ht="15"/>
    <row r="63149" ht="15"/>
    <row r="63150" ht="15"/>
    <row r="63151" ht="15"/>
    <row r="63152" ht="15"/>
    <row r="63153" ht="15"/>
    <row r="63154" ht="15"/>
    <row r="63155" ht="15"/>
    <row r="63156" ht="15"/>
    <row r="63157" ht="15"/>
    <row r="63158" ht="15"/>
    <row r="63159" ht="15"/>
    <row r="63160" ht="15"/>
    <row r="6316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32" ht="15"/>
    <row r="63633" ht="15"/>
    <row r="63634" ht="15"/>
    <row r="63635" ht="15"/>
    <row r="63636" ht="15"/>
    <row r="63637" ht="15"/>
    <row r="63638" ht="15"/>
    <row r="63639" ht="15"/>
    <row r="63640" ht="15"/>
    <row r="63641" ht="15"/>
    <row r="63642" ht="15"/>
    <row r="63643" ht="15"/>
    <row r="63644" ht="15"/>
    <row r="63645" ht="15"/>
    <row r="63646" ht="15"/>
    <row r="63647" ht="15"/>
    <row r="63648" ht="15"/>
    <row r="63649" ht="15"/>
    <row r="63650" ht="15"/>
    <row r="63651" ht="15"/>
    <row r="63652" ht="15"/>
    <row r="63653" ht="15"/>
    <row r="63654" ht="15"/>
    <row r="63655" ht="15"/>
    <row r="63656" ht="15"/>
    <row r="63657" ht="15"/>
    <row r="63658" ht="15"/>
    <row r="63659" ht="15"/>
    <row r="63660" ht="15"/>
    <row r="63661" ht="15"/>
    <row r="63662" ht="15"/>
    <row r="63663" ht="15"/>
    <row r="63664" ht="15"/>
    <row r="63665" ht="15"/>
    <row r="63666" ht="15"/>
    <row r="63667" ht="15"/>
    <row r="63668" ht="15"/>
    <row r="63669" ht="15"/>
    <row r="63670" ht="15"/>
    <row r="6367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42" ht="15"/>
    <row r="64143" ht="15"/>
    <row r="64144" ht="15"/>
    <row r="64145" ht="15"/>
    <row r="64146" ht="15"/>
    <row r="64147" ht="15"/>
    <row r="64148" ht="15"/>
    <row r="64149" ht="15"/>
    <row r="64150" ht="15"/>
    <row r="64151" ht="15"/>
    <row r="64152" ht="15"/>
    <row r="64153" ht="15"/>
    <row r="64154" ht="15"/>
    <row r="64155" ht="15"/>
    <row r="64156" ht="15"/>
    <row r="64157" ht="15"/>
    <row r="64158" ht="15"/>
    <row r="64159" ht="15"/>
    <row r="64160" ht="15"/>
    <row r="64161" ht="15"/>
    <row r="64162" ht="15"/>
    <row r="64163" ht="15"/>
    <row r="64164" ht="15"/>
    <row r="64165" ht="15"/>
    <row r="64166" ht="15"/>
    <row r="64167" ht="15"/>
    <row r="64168" ht="15"/>
    <row r="64169" ht="15"/>
    <row r="64170" ht="15"/>
    <row r="64171" ht="15"/>
    <row r="64172" ht="15"/>
    <row r="64173" ht="15"/>
    <row r="64174" ht="15"/>
    <row r="64175" ht="15"/>
    <row r="64176" ht="15"/>
    <row r="64177" ht="15"/>
    <row r="64178" ht="15"/>
    <row r="64179" ht="15"/>
    <row r="64180" ht="15"/>
    <row r="6418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52" ht="15"/>
    <row r="64653" ht="15"/>
    <row r="64654" ht="15"/>
    <row r="64655" ht="15"/>
    <row r="64656" ht="15"/>
    <row r="64657" ht="15"/>
    <row r="64658" ht="15"/>
    <row r="64659" ht="15"/>
    <row r="64660" ht="15"/>
    <row r="64661" ht="15"/>
    <row r="64662" ht="15"/>
    <row r="64663" ht="15"/>
    <row r="64664" ht="15"/>
    <row r="64665" ht="15"/>
    <row r="64666" ht="15"/>
    <row r="64667" ht="15"/>
    <row r="64668" ht="15"/>
    <row r="64669" ht="15"/>
    <row r="64670" ht="15"/>
    <row r="64671" ht="15"/>
    <row r="64672" ht="15"/>
    <row r="64673" ht="15"/>
    <row r="64674" ht="15"/>
    <row r="64675" ht="15"/>
    <row r="64676" ht="15"/>
    <row r="64677" ht="15"/>
    <row r="64678" ht="15"/>
    <row r="64679" ht="15"/>
    <row r="64680" ht="15"/>
    <row r="64681" ht="15"/>
    <row r="64682" ht="15"/>
    <row r="64683" ht="15"/>
    <row r="64684" ht="15"/>
    <row r="64685" ht="15"/>
    <row r="64686" ht="15"/>
    <row r="64687" ht="15"/>
    <row r="64688" ht="15"/>
    <row r="64689" ht="15"/>
    <row r="64690" ht="15"/>
    <row r="6469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162" ht="15"/>
    <row r="65163" ht="15"/>
    <row r="65164" ht="15"/>
    <row r="65165" ht="15"/>
    <row r="65166" ht="15"/>
    <row r="65167" ht="15"/>
    <row r="65168" ht="15"/>
    <row r="65169" ht="15"/>
    <row r="65170" ht="15"/>
    <row r="65171" ht="15"/>
    <row r="65172" ht="15"/>
    <row r="65173" ht="15"/>
    <row r="65174" ht="15"/>
    <row r="65175" ht="15"/>
    <row r="65176" ht="15"/>
    <row r="65177" ht="15"/>
    <row r="65178" ht="15"/>
    <row r="65179" ht="15"/>
    <row r="65180" ht="15"/>
    <row r="65181" ht="15"/>
    <row r="65182" ht="15"/>
    <row r="65183" ht="15"/>
    <row r="65184" ht="15"/>
    <row r="65185" ht="15"/>
    <row r="65186" ht="15"/>
    <row r="65187" ht="15"/>
    <row r="65188" ht="15"/>
    <row r="65189" ht="15"/>
    <row r="65190" ht="15"/>
    <row r="65191" ht="15"/>
    <row r="65192" ht="15"/>
    <row r="65193" ht="15"/>
    <row r="65194" ht="15"/>
    <row r="65195" ht="15"/>
    <row r="65196" ht="15"/>
    <row r="65197" ht="15"/>
    <row r="65198" ht="15"/>
    <row r="65199" ht="15"/>
    <row r="65200" ht="15"/>
    <row r="6520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  <row r="65537" ht="15"/>
    <row r="65538" ht="15"/>
    <row r="65539" ht="15"/>
    <row r="65540" ht="15"/>
    <row r="65541" ht="15"/>
    <row r="65542" ht="15"/>
    <row r="65543" ht="15"/>
    <row r="65544" ht="15"/>
    <row r="65545" ht="15"/>
    <row r="65546" ht="15"/>
    <row r="65547" ht="15"/>
    <row r="65548" ht="15"/>
    <row r="65549" ht="15"/>
    <row r="65550" ht="15"/>
    <row r="65551" ht="15"/>
    <row r="65552" ht="15"/>
    <row r="65553" ht="15"/>
    <row r="65554" ht="15"/>
    <row r="65555" ht="15"/>
    <row r="65556" ht="15"/>
    <row r="65557" ht="15"/>
    <row r="65558" ht="15"/>
    <row r="65559" ht="15"/>
    <row r="65560" ht="15"/>
    <row r="65561" ht="15"/>
    <row r="65562" ht="15"/>
    <row r="65563" ht="15"/>
    <row r="65564" ht="15"/>
    <row r="65565" ht="15"/>
    <row r="65566" ht="15"/>
    <row r="65567" ht="15"/>
    <row r="65568" ht="15"/>
    <row r="65569" ht="15"/>
    <row r="65570" ht="15"/>
    <row r="65571" ht="15"/>
    <row r="65572" ht="15"/>
    <row r="65573" ht="15"/>
    <row r="65574" ht="15"/>
    <row r="65575" ht="15"/>
    <row r="65576" ht="15"/>
    <row r="65577" ht="15"/>
    <row r="65578" ht="15"/>
    <row r="65579" ht="15"/>
    <row r="65580" ht="15"/>
    <row r="65581" ht="15"/>
    <row r="65582" ht="15"/>
    <row r="65583" ht="15"/>
    <row r="65584" ht="15"/>
    <row r="65585" ht="15"/>
    <row r="65586" ht="15"/>
    <row r="65587" ht="15"/>
    <row r="65588" ht="15"/>
    <row r="65589" ht="15"/>
    <row r="65590" ht="15"/>
    <row r="65591" ht="15"/>
    <row r="65592" ht="15"/>
    <row r="65593" ht="15"/>
    <row r="65594" ht="15"/>
    <row r="65595" ht="15"/>
    <row r="65596" ht="15"/>
    <row r="65597" ht="15"/>
    <row r="65598" ht="15"/>
    <row r="65599" ht="15"/>
    <row r="65600" ht="15"/>
    <row r="65601" ht="15"/>
    <row r="65602" ht="15"/>
    <row r="65603" ht="15"/>
    <row r="65604" ht="15"/>
    <row r="65605" ht="15"/>
    <row r="65606" ht="15"/>
    <row r="65607" ht="15"/>
    <row r="65608" ht="15"/>
    <row r="65609" ht="15"/>
    <row r="65610" ht="15"/>
    <row r="65611" ht="15"/>
    <row r="65612" ht="15"/>
    <row r="65613" ht="15"/>
    <row r="65614" ht="15"/>
    <row r="65615" ht="15"/>
    <row r="65616" ht="15"/>
    <row r="65617" ht="15"/>
    <row r="65618" ht="15"/>
    <row r="65619" ht="15"/>
    <row r="65620" ht="15"/>
    <row r="65621" ht="15"/>
    <row r="65622" ht="15"/>
    <row r="65623" ht="15"/>
    <row r="65624" ht="15"/>
    <row r="65625" ht="15"/>
    <row r="65626" ht="15"/>
    <row r="65627" ht="15"/>
    <row r="65628" ht="15"/>
    <row r="65629" ht="15"/>
    <row r="65630" ht="15"/>
    <row r="65631" ht="15"/>
    <row r="65632" ht="15"/>
    <row r="65633" ht="15"/>
    <row r="65634" ht="15"/>
    <row r="65635" ht="15"/>
    <row r="65636" ht="15"/>
    <row r="65637" ht="15"/>
    <row r="65638" ht="15"/>
    <row r="65639" ht="15"/>
    <row r="65640" ht="15"/>
    <row r="65641" ht="15"/>
    <row r="65642" ht="15"/>
    <row r="65643" ht="15"/>
    <row r="65644" ht="15"/>
    <row r="65645" ht="15"/>
    <row r="65646" ht="15"/>
    <row r="65647" ht="15"/>
    <row r="65648" ht="15"/>
    <row r="65649" ht="15"/>
    <row r="65650" ht="15"/>
    <row r="65651" ht="15"/>
    <row r="65652" ht="15"/>
    <row r="65653" ht="15"/>
    <row r="65654" ht="15"/>
    <row r="65655" ht="15"/>
    <row r="65656" ht="15"/>
    <row r="65657" ht="15"/>
    <row r="65658" ht="15"/>
  </sheetData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  <headerFooter>
    <oddHeader>&amp;L&amp;"Times New Roman,Normál"&amp;8 10. melléklet 1,2,3,4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view="pageLayout" workbookViewId="0" topLeftCell="A1">
      <selection activeCell="A118" sqref="A118:A122"/>
    </sheetView>
  </sheetViews>
  <sheetFormatPr defaultColWidth="9.140625" defaultRowHeight="15"/>
  <cols>
    <col min="1" max="1" width="82.28125" style="426" bestFit="1" customWidth="1"/>
    <col min="2" max="4" width="13.8515625" style="483" customWidth="1"/>
    <col min="5" max="11" width="9.140625" style="1068" customWidth="1"/>
    <col min="12" max="16384" width="9.140625" style="418" customWidth="1"/>
  </cols>
  <sheetData>
    <row r="1" spans="1:4" ht="15">
      <c r="A1" s="1584" t="s">
        <v>471</v>
      </c>
      <c r="B1" s="1584"/>
      <c r="C1" s="1584"/>
      <c r="D1" s="1584"/>
    </row>
    <row r="2" spans="1:4" ht="15">
      <c r="A2" s="1584"/>
      <c r="B2" s="1584"/>
      <c r="C2" s="1584"/>
      <c r="D2" s="1584"/>
    </row>
    <row r="3" spans="1:4" ht="15.75" thickBot="1">
      <c r="A3" s="482"/>
      <c r="B3" s="482"/>
      <c r="C3" s="482"/>
      <c r="D3" s="482"/>
    </row>
    <row r="4" spans="1:11" s="420" customFormat="1" ht="15.75" thickBot="1">
      <c r="A4" s="405" t="s">
        <v>3</v>
      </c>
      <c r="B4" s="497" t="s">
        <v>4</v>
      </c>
      <c r="C4" s="494" t="s">
        <v>896</v>
      </c>
      <c r="D4" s="495" t="s">
        <v>930</v>
      </c>
      <c r="E4" s="1069"/>
      <c r="F4" s="1069"/>
      <c r="G4" s="1069"/>
      <c r="H4" s="1069"/>
      <c r="I4" s="1069"/>
      <c r="J4" s="1069"/>
      <c r="K4" s="1069"/>
    </row>
    <row r="5" spans="1:4" ht="15">
      <c r="A5" s="447" t="s">
        <v>442</v>
      </c>
      <c r="B5" s="498"/>
      <c r="C5" s="492"/>
      <c r="D5" s="493"/>
    </row>
    <row r="6" spans="1:4" ht="15">
      <c r="A6" s="380"/>
      <c r="B6" s="499"/>
      <c r="C6" s="485"/>
      <c r="D6" s="489"/>
    </row>
    <row r="7" spans="1:11" s="473" customFormat="1" ht="15">
      <c r="A7" s="409" t="s">
        <v>472</v>
      </c>
      <c r="B7" s="500">
        <f>SUM(B8:B27)</f>
        <v>114830</v>
      </c>
      <c r="C7" s="486">
        <f>SUM(C8:C27)</f>
        <v>752072</v>
      </c>
      <c r="D7" s="490">
        <f>SUM(D8:D27)</f>
        <v>706531</v>
      </c>
      <c r="E7" s="1070"/>
      <c r="F7" s="1070"/>
      <c r="G7" s="1070"/>
      <c r="H7" s="1070"/>
      <c r="I7" s="1070"/>
      <c r="J7" s="1070"/>
      <c r="K7" s="1070"/>
    </row>
    <row r="8" spans="1:4" ht="30">
      <c r="A8" s="380" t="s">
        <v>473</v>
      </c>
      <c r="B8" s="499">
        <v>9830</v>
      </c>
      <c r="C8" s="485">
        <v>9725</v>
      </c>
      <c r="D8" s="489">
        <v>9725</v>
      </c>
    </row>
    <row r="9" spans="1:11" s="421" customFormat="1" ht="15">
      <c r="A9" s="380" t="s">
        <v>474</v>
      </c>
      <c r="B9" s="499">
        <v>104500</v>
      </c>
      <c r="C9" s="485">
        <v>102220</v>
      </c>
      <c r="D9" s="489">
        <v>53156</v>
      </c>
      <c r="E9" s="1071"/>
      <c r="F9" s="1071"/>
      <c r="G9" s="1071"/>
      <c r="H9" s="1071"/>
      <c r="I9" s="1071"/>
      <c r="J9" s="1071"/>
      <c r="K9" s="1071"/>
    </row>
    <row r="10" spans="1:11" s="421" customFormat="1" ht="15">
      <c r="A10" s="380" t="s">
        <v>475</v>
      </c>
      <c r="B10" s="499">
        <v>500</v>
      </c>
      <c r="C10" s="485">
        <v>500</v>
      </c>
      <c r="D10" s="489">
        <v>500</v>
      </c>
      <c r="E10" s="1071"/>
      <c r="F10" s="1071"/>
      <c r="G10" s="1071"/>
      <c r="H10" s="1071"/>
      <c r="I10" s="1071"/>
      <c r="J10" s="1071"/>
      <c r="K10" s="1071"/>
    </row>
    <row r="11" spans="1:11" s="421" customFormat="1" ht="15">
      <c r="A11" s="380" t="s">
        <v>862</v>
      </c>
      <c r="B11" s="499"/>
      <c r="C11" s="485">
        <v>23974</v>
      </c>
      <c r="D11" s="489">
        <v>23974</v>
      </c>
      <c r="E11" s="1071"/>
      <c r="F11" s="1071"/>
      <c r="G11" s="1071"/>
      <c r="H11" s="1071"/>
      <c r="I11" s="1071"/>
      <c r="J11" s="1071"/>
      <c r="K11" s="1071"/>
    </row>
    <row r="12" spans="1:11" s="421" customFormat="1" ht="30">
      <c r="A12" s="380" t="s">
        <v>863</v>
      </c>
      <c r="B12" s="499"/>
      <c r="C12" s="485">
        <v>18050</v>
      </c>
      <c r="D12" s="489">
        <v>18050</v>
      </c>
      <c r="E12" s="1071"/>
      <c r="F12" s="1071"/>
      <c r="G12" s="1071"/>
      <c r="H12" s="1071"/>
      <c r="I12" s="1071"/>
      <c r="J12" s="1071"/>
      <c r="K12" s="1071"/>
    </row>
    <row r="13" spans="1:11" s="421" customFormat="1" ht="30">
      <c r="A13" s="380" t="s">
        <v>865</v>
      </c>
      <c r="B13" s="499"/>
      <c r="C13" s="485">
        <v>4296</v>
      </c>
      <c r="D13" s="489">
        <v>4296</v>
      </c>
      <c r="E13" s="1071"/>
      <c r="F13" s="1071"/>
      <c r="G13" s="1071"/>
      <c r="H13" s="1071"/>
      <c r="I13" s="1071"/>
      <c r="J13" s="1071"/>
      <c r="K13" s="1071"/>
    </row>
    <row r="14" spans="1:11" s="421" customFormat="1" ht="30">
      <c r="A14" s="380" t="s">
        <v>864</v>
      </c>
      <c r="B14" s="499"/>
      <c r="C14" s="485">
        <v>2320</v>
      </c>
      <c r="D14" s="489">
        <v>2320</v>
      </c>
      <c r="E14" s="1071"/>
      <c r="F14" s="1071"/>
      <c r="G14" s="1071"/>
      <c r="H14" s="1071"/>
      <c r="I14" s="1071"/>
      <c r="J14" s="1071"/>
      <c r="K14" s="1071"/>
    </row>
    <row r="15" spans="1:11" s="421" customFormat="1" ht="15">
      <c r="A15" s="380" t="s">
        <v>866</v>
      </c>
      <c r="B15" s="499"/>
      <c r="C15" s="485">
        <v>0</v>
      </c>
      <c r="D15" s="489">
        <v>0</v>
      </c>
      <c r="E15" s="1071"/>
      <c r="F15" s="1071"/>
      <c r="G15" s="1071"/>
      <c r="H15" s="1071"/>
      <c r="I15" s="1071"/>
      <c r="J15" s="1071"/>
      <c r="K15" s="1071"/>
    </row>
    <row r="16" spans="1:11" s="421" customFormat="1" ht="15">
      <c r="A16" s="380" t="s">
        <v>867</v>
      </c>
      <c r="B16" s="499"/>
      <c r="C16" s="485">
        <v>396254</v>
      </c>
      <c r="D16" s="489">
        <v>396254</v>
      </c>
      <c r="E16" s="1071"/>
      <c r="F16" s="1071"/>
      <c r="G16" s="1071"/>
      <c r="H16" s="1071"/>
      <c r="I16" s="1071"/>
      <c r="J16" s="1071"/>
      <c r="K16" s="1071"/>
    </row>
    <row r="17" spans="1:11" s="421" customFormat="1" ht="15">
      <c r="A17" s="380" t="s">
        <v>847</v>
      </c>
      <c r="B17" s="499"/>
      <c r="C17" s="485">
        <v>28968</v>
      </c>
      <c r="D17" s="489">
        <v>28968</v>
      </c>
      <c r="E17" s="1071"/>
      <c r="F17" s="1071"/>
      <c r="G17" s="1071"/>
      <c r="H17" s="1071"/>
      <c r="I17" s="1071"/>
      <c r="J17" s="1071"/>
      <c r="K17" s="1071"/>
    </row>
    <row r="18" spans="1:11" s="421" customFormat="1" ht="30">
      <c r="A18" s="380" t="s">
        <v>836</v>
      </c>
      <c r="B18" s="499"/>
      <c r="C18" s="485">
        <v>5833</v>
      </c>
      <c r="D18" s="489">
        <v>5833</v>
      </c>
      <c r="E18" s="1071"/>
      <c r="F18" s="1071"/>
      <c r="G18" s="1071"/>
      <c r="H18" s="1071"/>
      <c r="I18" s="1071"/>
      <c r="J18" s="1071"/>
      <c r="K18" s="1071"/>
    </row>
    <row r="19" spans="1:11" s="421" customFormat="1" ht="30">
      <c r="A19" s="380" t="s">
        <v>868</v>
      </c>
      <c r="B19" s="499"/>
      <c r="C19" s="485">
        <v>13454</v>
      </c>
      <c r="D19" s="489">
        <v>13454</v>
      </c>
      <c r="E19" s="1071"/>
      <c r="F19" s="1071"/>
      <c r="G19" s="1071"/>
      <c r="H19" s="1071"/>
      <c r="I19" s="1071"/>
      <c r="J19" s="1071"/>
      <c r="K19" s="1071"/>
    </row>
    <row r="20" spans="1:11" s="421" customFormat="1" ht="15">
      <c r="A20" s="380" t="s">
        <v>859</v>
      </c>
      <c r="B20" s="499"/>
      <c r="C20" s="485">
        <v>2751</v>
      </c>
      <c r="D20" s="489">
        <v>2751</v>
      </c>
      <c r="E20" s="1071"/>
      <c r="F20" s="1071"/>
      <c r="G20" s="1071"/>
      <c r="H20" s="1071"/>
      <c r="I20" s="1071"/>
      <c r="J20" s="1071"/>
      <c r="K20" s="1071"/>
    </row>
    <row r="21" spans="1:11" s="421" customFormat="1" ht="15">
      <c r="A21" s="380" t="s">
        <v>476</v>
      </c>
      <c r="B21" s="499"/>
      <c r="C21" s="485">
        <v>0</v>
      </c>
      <c r="D21" s="489">
        <v>0</v>
      </c>
      <c r="E21" s="1071"/>
      <c r="F21" s="1071"/>
      <c r="G21" s="1071"/>
      <c r="H21" s="1071"/>
      <c r="I21" s="1071"/>
      <c r="J21" s="1071"/>
      <c r="K21" s="1071"/>
    </row>
    <row r="22" spans="1:11" s="421" customFormat="1" ht="15">
      <c r="A22" s="1010" t="s">
        <v>843</v>
      </c>
      <c r="B22" s="1012"/>
      <c r="C22" s="1013">
        <v>13490</v>
      </c>
      <c r="D22" s="1014">
        <v>13490</v>
      </c>
      <c r="E22" s="1071"/>
      <c r="F22" s="1071"/>
      <c r="G22" s="1071"/>
      <c r="H22" s="1071"/>
      <c r="I22" s="1071"/>
      <c r="J22" s="1071"/>
      <c r="K22" s="1071"/>
    </row>
    <row r="23" spans="1:11" s="421" customFormat="1" ht="15">
      <c r="A23" s="1010" t="s">
        <v>844</v>
      </c>
      <c r="B23" s="1012"/>
      <c r="C23" s="1013">
        <v>38571</v>
      </c>
      <c r="D23" s="1014">
        <v>38571</v>
      </c>
      <c r="E23" s="1071"/>
      <c r="F23" s="1071"/>
      <c r="G23" s="1071"/>
      <c r="H23" s="1071"/>
      <c r="I23" s="1071"/>
      <c r="J23" s="1071"/>
      <c r="K23" s="1071"/>
    </row>
    <row r="24" spans="1:11" s="421" customFormat="1" ht="30">
      <c r="A24" s="1011" t="s">
        <v>861</v>
      </c>
      <c r="B24" s="1012"/>
      <c r="C24" s="1013">
        <v>54999</v>
      </c>
      <c r="D24" s="1014">
        <v>54999</v>
      </c>
      <c r="E24" s="1071"/>
      <c r="F24" s="1071"/>
      <c r="G24" s="1071"/>
      <c r="H24" s="1071"/>
      <c r="I24" s="1071"/>
      <c r="J24" s="1071"/>
      <c r="K24" s="1071"/>
    </row>
    <row r="25" spans="1:11" s="421" customFormat="1" ht="30">
      <c r="A25" s="1090" t="s">
        <v>924</v>
      </c>
      <c r="B25" s="1091"/>
      <c r="C25" s="1092"/>
      <c r="D25" s="1093">
        <v>1700</v>
      </c>
      <c r="E25" s="1071"/>
      <c r="F25" s="1071"/>
      <c r="G25" s="1071"/>
      <c r="H25" s="1071"/>
      <c r="I25" s="1071"/>
      <c r="J25" s="1071"/>
      <c r="K25" s="1071"/>
    </row>
    <row r="26" spans="1:11" s="421" customFormat="1" ht="15">
      <c r="A26" s="1010" t="s">
        <v>845</v>
      </c>
      <c r="B26" s="1012"/>
      <c r="C26" s="1013">
        <v>35215</v>
      </c>
      <c r="D26" s="1014">
        <v>35215</v>
      </c>
      <c r="E26" s="1071"/>
      <c r="F26" s="1071"/>
      <c r="G26" s="1071"/>
      <c r="H26" s="1071"/>
      <c r="I26" s="1071"/>
      <c r="J26" s="1071"/>
      <c r="K26" s="1071"/>
    </row>
    <row r="27" spans="1:11" s="421" customFormat="1" ht="15">
      <c r="A27" s="1010" t="s">
        <v>897</v>
      </c>
      <c r="B27" s="1012"/>
      <c r="C27" s="1013">
        <v>1452</v>
      </c>
      <c r="D27" s="1014">
        <v>3275</v>
      </c>
      <c r="E27" s="1071"/>
      <c r="F27" s="1071"/>
      <c r="G27" s="1071"/>
      <c r="H27" s="1071"/>
      <c r="I27" s="1071"/>
      <c r="J27" s="1071"/>
      <c r="K27" s="1071"/>
    </row>
    <row r="28" spans="1:11" s="421" customFormat="1" ht="15">
      <c r="A28" s="380"/>
      <c r="B28" s="499"/>
      <c r="C28" s="485"/>
      <c r="D28" s="489"/>
      <c r="E28" s="1071"/>
      <c r="F28" s="1071"/>
      <c r="G28" s="1071"/>
      <c r="H28" s="1071"/>
      <c r="I28" s="1071"/>
      <c r="J28" s="1071"/>
      <c r="K28" s="1071"/>
    </row>
    <row r="29" spans="1:11" s="473" customFormat="1" ht="15">
      <c r="A29" s="409" t="s">
        <v>477</v>
      </c>
      <c r="B29" s="500">
        <f>SUM(B30:B33)</f>
        <v>10912</v>
      </c>
      <c r="C29" s="486">
        <f aca="true" t="shared" si="0" ref="C29:D29">SUM(C30:C33)</f>
        <v>8812</v>
      </c>
      <c r="D29" s="490">
        <f t="shared" si="0"/>
        <v>8812</v>
      </c>
      <c r="E29" s="1070"/>
      <c r="F29" s="1070"/>
      <c r="G29" s="1070"/>
      <c r="H29" s="1070"/>
      <c r="I29" s="1070"/>
      <c r="J29" s="1070"/>
      <c r="K29" s="1070"/>
    </row>
    <row r="30" spans="1:4" ht="15">
      <c r="A30" s="380" t="s">
        <v>295</v>
      </c>
      <c r="B30" s="499">
        <v>7931</v>
      </c>
      <c r="C30" s="485">
        <v>7931</v>
      </c>
      <c r="D30" s="489">
        <v>7931</v>
      </c>
    </row>
    <row r="31" spans="1:4" ht="30">
      <c r="A31" s="379" t="s">
        <v>299</v>
      </c>
      <c r="B31" s="499">
        <v>781</v>
      </c>
      <c r="C31" s="485">
        <v>781</v>
      </c>
      <c r="D31" s="489">
        <v>781</v>
      </c>
    </row>
    <row r="32" spans="1:4" ht="15">
      <c r="A32" s="380" t="s">
        <v>478</v>
      </c>
      <c r="B32" s="499">
        <v>2200</v>
      </c>
      <c r="C32" s="485">
        <v>0</v>
      </c>
      <c r="D32" s="489">
        <v>0</v>
      </c>
    </row>
    <row r="33" spans="1:4" ht="15">
      <c r="A33" s="380" t="s">
        <v>898</v>
      </c>
      <c r="B33" s="499"/>
      <c r="C33" s="485">
        <v>100</v>
      </c>
      <c r="D33" s="489">
        <v>100</v>
      </c>
    </row>
    <row r="34" spans="1:11" s="421" customFormat="1" ht="15">
      <c r="A34" s="380"/>
      <c r="B34" s="499"/>
      <c r="C34" s="485"/>
      <c r="D34" s="489"/>
      <c r="E34" s="1071"/>
      <c r="F34" s="1071"/>
      <c r="G34" s="1071"/>
      <c r="H34" s="1071"/>
      <c r="I34" s="1071"/>
      <c r="J34" s="1071"/>
      <c r="K34" s="1071"/>
    </row>
    <row r="35" spans="1:11" s="421" customFormat="1" ht="14.25">
      <c r="A35" s="453" t="s">
        <v>497</v>
      </c>
      <c r="B35" s="501">
        <f>B7+B29</f>
        <v>125742</v>
      </c>
      <c r="C35" s="484">
        <f>C7+C29</f>
        <v>760884</v>
      </c>
      <c r="D35" s="488">
        <f>D7+D29</f>
        <v>715343</v>
      </c>
      <c r="E35" s="1071"/>
      <c r="F35" s="1071"/>
      <c r="G35" s="1071"/>
      <c r="H35" s="1071"/>
      <c r="I35" s="1071"/>
      <c r="J35" s="1071"/>
      <c r="K35" s="1071"/>
    </row>
    <row r="36" spans="1:11" s="421" customFormat="1" ht="15">
      <c r="A36" s="380"/>
      <c r="B36" s="499"/>
      <c r="C36" s="485"/>
      <c r="D36" s="489"/>
      <c r="E36" s="1071"/>
      <c r="F36" s="1071"/>
      <c r="G36" s="1071"/>
      <c r="H36" s="1071"/>
      <c r="I36" s="1071"/>
      <c r="J36" s="1071"/>
      <c r="K36" s="1071"/>
    </row>
    <row r="37" spans="1:11" s="425" customFormat="1" ht="30">
      <c r="A37" s="409" t="s">
        <v>479</v>
      </c>
      <c r="B37" s="500">
        <f>SUM(B38:B39)</f>
        <v>40000</v>
      </c>
      <c r="C37" s="486">
        <f aca="true" t="shared" si="1" ref="C37:D37">SUM(C38:C39)</f>
        <v>55000</v>
      </c>
      <c r="D37" s="490">
        <f t="shared" si="1"/>
        <v>20000</v>
      </c>
      <c r="E37" s="1072"/>
      <c r="F37" s="1072"/>
      <c r="G37" s="1072"/>
      <c r="H37" s="1072"/>
      <c r="I37" s="1072"/>
      <c r="J37" s="1072"/>
      <c r="K37" s="1072"/>
    </row>
    <row r="38" spans="1:11" s="421" customFormat="1" ht="15">
      <c r="A38" s="380" t="s">
        <v>480</v>
      </c>
      <c r="B38" s="499">
        <v>40000</v>
      </c>
      <c r="C38" s="485">
        <v>40000</v>
      </c>
      <c r="D38" s="489">
        <v>20000</v>
      </c>
      <c r="E38" s="1071"/>
      <c r="F38" s="1071"/>
      <c r="G38" s="1071"/>
      <c r="H38" s="1071"/>
      <c r="I38" s="1071"/>
      <c r="J38" s="1071"/>
      <c r="K38" s="1071"/>
    </row>
    <row r="39" spans="1:11" s="421" customFormat="1" ht="30">
      <c r="A39" s="380" t="s">
        <v>462</v>
      </c>
      <c r="B39" s="499"/>
      <c r="C39" s="485">
        <v>15000</v>
      </c>
      <c r="D39" s="489">
        <v>0</v>
      </c>
      <c r="E39" s="1071"/>
      <c r="F39" s="1071"/>
      <c r="G39" s="1071"/>
      <c r="H39" s="1071"/>
      <c r="I39" s="1071"/>
      <c r="J39" s="1071"/>
      <c r="K39" s="1071"/>
    </row>
    <row r="40" spans="1:11" s="421" customFormat="1" ht="15">
      <c r="A40" s="380"/>
      <c r="B40" s="499"/>
      <c r="C40" s="485"/>
      <c r="D40" s="489"/>
      <c r="E40" s="1071"/>
      <c r="F40" s="1071"/>
      <c r="G40" s="1071"/>
      <c r="H40" s="1071"/>
      <c r="I40" s="1071"/>
      <c r="J40" s="1071"/>
      <c r="K40" s="1071"/>
    </row>
    <row r="41" spans="1:11" s="421" customFormat="1" ht="14.25">
      <c r="A41" s="453" t="s">
        <v>496</v>
      </c>
      <c r="B41" s="501">
        <f>B37</f>
        <v>40000</v>
      </c>
      <c r="C41" s="484">
        <f aca="true" t="shared" si="2" ref="C41:D41">C37</f>
        <v>55000</v>
      </c>
      <c r="D41" s="488">
        <f t="shared" si="2"/>
        <v>20000</v>
      </c>
      <c r="E41" s="1071"/>
      <c r="F41" s="1071"/>
      <c r="G41" s="1071"/>
      <c r="H41" s="1071"/>
      <c r="I41" s="1071"/>
      <c r="J41" s="1071"/>
      <c r="K41" s="1071"/>
    </row>
    <row r="42" spans="1:11" s="421" customFormat="1" ht="15">
      <c r="A42" s="380"/>
      <c r="B42" s="499"/>
      <c r="C42" s="485"/>
      <c r="D42" s="489"/>
      <c r="E42" s="1071"/>
      <c r="F42" s="1071"/>
      <c r="G42" s="1071"/>
      <c r="H42" s="1071"/>
      <c r="I42" s="1071"/>
      <c r="J42" s="1071"/>
      <c r="K42" s="1071"/>
    </row>
    <row r="43" spans="1:11" s="421" customFormat="1" ht="28.5">
      <c r="A43" s="453" t="s">
        <v>469</v>
      </c>
      <c r="B43" s="501">
        <f>B35+B41</f>
        <v>165742</v>
      </c>
      <c r="C43" s="484">
        <f aca="true" t="shared" si="3" ref="C43:D43">C35+C41</f>
        <v>815884</v>
      </c>
      <c r="D43" s="488">
        <f t="shared" si="3"/>
        <v>735343</v>
      </c>
      <c r="E43" s="1071"/>
      <c r="F43" s="1071"/>
      <c r="G43" s="1071"/>
      <c r="H43" s="1071"/>
      <c r="I43" s="1071"/>
      <c r="J43" s="1071"/>
      <c r="K43" s="1071"/>
    </row>
    <row r="44" spans="1:11" s="421" customFormat="1" ht="15">
      <c r="A44" s="380"/>
      <c r="B44" s="499"/>
      <c r="C44" s="485"/>
      <c r="D44" s="489"/>
      <c r="E44" s="1071"/>
      <c r="F44" s="1071"/>
      <c r="G44" s="1071"/>
      <c r="H44" s="1071"/>
      <c r="I44" s="1071"/>
      <c r="J44" s="1071"/>
      <c r="K44" s="1071"/>
    </row>
    <row r="45" spans="1:11" s="425" customFormat="1" ht="15">
      <c r="A45" s="409" t="s">
        <v>481</v>
      </c>
      <c r="B45" s="500">
        <f>SUM(B46:B62)</f>
        <v>0</v>
      </c>
      <c r="C45" s="486">
        <f>SUM(C46:C62)</f>
        <v>1151535</v>
      </c>
      <c r="D45" s="490">
        <f>SUM(D46:D62)</f>
        <v>1154369</v>
      </c>
      <c r="E45" s="1072"/>
      <c r="F45" s="1072"/>
      <c r="G45" s="1072"/>
      <c r="H45" s="1072"/>
      <c r="I45" s="1072"/>
      <c r="J45" s="1072"/>
      <c r="K45" s="1072"/>
    </row>
    <row r="46" spans="1:11" s="421" customFormat="1" ht="15">
      <c r="A46" s="380" t="s">
        <v>862</v>
      </c>
      <c r="B46" s="499"/>
      <c r="C46" s="485">
        <v>226026</v>
      </c>
      <c r="D46" s="489">
        <v>226026</v>
      </c>
      <c r="E46" s="1071"/>
      <c r="F46" s="1071"/>
      <c r="G46" s="1071"/>
      <c r="H46" s="1071"/>
      <c r="I46" s="1071"/>
      <c r="J46" s="1071"/>
      <c r="K46" s="1071"/>
    </row>
    <row r="47" spans="1:11" s="421" customFormat="1" ht="30">
      <c r="A47" s="380" t="s">
        <v>863</v>
      </c>
      <c r="B47" s="499"/>
      <c r="C47" s="485">
        <v>321950</v>
      </c>
      <c r="D47" s="489">
        <v>321950</v>
      </c>
      <c r="E47" s="1071"/>
      <c r="F47" s="1071"/>
      <c r="G47" s="1071"/>
      <c r="H47" s="1071"/>
      <c r="I47" s="1071"/>
      <c r="J47" s="1071"/>
      <c r="K47" s="1071"/>
    </row>
    <row r="48" spans="1:11" s="421" customFormat="1" ht="30">
      <c r="A48" s="380" t="s">
        <v>865</v>
      </c>
      <c r="B48" s="499"/>
      <c r="C48" s="485">
        <v>37218</v>
      </c>
      <c r="D48" s="489">
        <v>37218</v>
      </c>
      <c r="E48" s="1071"/>
      <c r="F48" s="1071"/>
      <c r="G48" s="1071"/>
      <c r="H48" s="1071"/>
      <c r="I48" s="1071"/>
      <c r="J48" s="1071"/>
      <c r="K48" s="1071"/>
    </row>
    <row r="49" spans="1:11" s="421" customFormat="1" ht="30">
      <c r="A49" s="380" t="s">
        <v>864</v>
      </c>
      <c r="B49" s="499"/>
      <c r="C49" s="485">
        <v>38545</v>
      </c>
      <c r="D49" s="489">
        <v>38545</v>
      </c>
      <c r="E49" s="1071"/>
      <c r="F49" s="1071"/>
      <c r="G49" s="1071"/>
      <c r="H49" s="1071"/>
      <c r="I49" s="1071"/>
      <c r="J49" s="1071"/>
      <c r="K49" s="1071"/>
    </row>
    <row r="50" spans="1:11" s="421" customFormat="1" ht="30">
      <c r="A50" s="380" t="s">
        <v>836</v>
      </c>
      <c r="B50" s="499"/>
      <c r="C50" s="485">
        <v>112357</v>
      </c>
      <c r="D50" s="489">
        <v>112357</v>
      </c>
      <c r="E50" s="1071"/>
      <c r="F50" s="1071"/>
      <c r="G50" s="1071"/>
      <c r="H50" s="1071"/>
      <c r="I50" s="1071"/>
      <c r="J50" s="1071"/>
      <c r="K50" s="1071"/>
    </row>
    <row r="51" spans="1:11" s="421" customFormat="1" ht="15">
      <c r="A51" s="380" t="s">
        <v>482</v>
      </c>
      <c r="B51" s="499"/>
      <c r="C51" s="485">
        <v>0</v>
      </c>
      <c r="D51" s="489">
        <v>0</v>
      </c>
      <c r="E51" s="1071"/>
      <c r="F51" s="1071"/>
      <c r="G51" s="1071"/>
      <c r="H51" s="1071"/>
      <c r="I51" s="1071"/>
      <c r="J51" s="1071"/>
      <c r="K51" s="1071"/>
    </row>
    <row r="52" spans="1:11" s="421" customFormat="1" ht="30">
      <c r="A52" s="380" t="s">
        <v>483</v>
      </c>
      <c r="B52" s="499"/>
      <c r="C52" s="485">
        <v>0</v>
      </c>
      <c r="D52" s="489">
        <v>0</v>
      </c>
      <c r="E52" s="1071"/>
      <c r="F52" s="1071"/>
      <c r="G52" s="1071"/>
      <c r="H52" s="1071"/>
      <c r="I52" s="1071"/>
      <c r="J52" s="1071"/>
      <c r="K52" s="1071"/>
    </row>
    <row r="53" spans="1:11" s="421" customFormat="1" ht="15">
      <c r="A53" s="380" t="s">
        <v>484</v>
      </c>
      <c r="B53" s="499"/>
      <c r="C53" s="485">
        <v>0</v>
      </c>
      <c r="D53" s="489">
        <v>0</v>
      </c>
      <c r="E53" s="1071"/>
      <c r="F53" s="1071"/>
      <c r="G53" s="1071"/>
      <c r="H53" s="1071"/>
      <c r="I53" s="1071"/>
      <c r="J53" s="1071"/>
      <c r="K53" s="1071"/>
    </row>
    <row r="54" spans="1:11" s="421" customFormat="1" ht="15">
      <c r="A54" s="1011" t="s">
        <v>485</v>
      </c>
      <c r="B54" s="1012"/>
      <c r="C54" s="1013">
        <v>0</v>
      </c>
      <c r="D54" s="1014">
        <v>0</v>
      </c>
      <c r="E54" s="1071"/>
      <c r="F54" s="1071"/>
      <c r="G54" s="1071"/>
      <c r="H54" s="1071"/>
      <c r="I54" s="1071"/>
      <c r="J54" s="1071"/>
      <c r="K54" s="1071"/>
    </row>
    <row r="55" spans="1:11" s="421" customFormat="1" ht="15">
      <c r="A55" s="380" t="s">
        <v>860</v>
      </c>
      <c r="B55" s="499"/>
      <c r="C55" s="485">
        <v>2280</v>
      </c>
      <c r="D55" s="489">
        <v>5114</v>
      </c>
      <c r="E55" s="1071"/>
      <c r="F55" s="1071"/>
      <c r="G55" s="1071"/>
      <c r="H55" s="1071"/>
      <c r="I55" s="1071"/>
      <c r="J55" s="1071"/>
      <c r="K55" s="1071"/>
    </row>
    <row r="56" spans="1:11" s="421" customFormat="1" ht="15">
      <c r="A56" s="1010" t="s">
        <v>843</v>
      </c>
      <c r="B56" s="1012"/>
      <c r="C56" s="1013">
        <v>1495</v>
      </c>
      <c r="D56" s="1014">
        <v>1495</v>
      </c>
      <c r="E56" s="1071"/>
      <c r="F56" s="1071"/>
      <c r="G56" s="1071"/>
      <c r="H56" s="1071"/>
      <c r="I56" s="1071"/>
      <c r="J56" s="1071"/>
      <c r="K56" s="1071"/>
    </row>
    <row r="57" spans="1:11" s="421" customFormat="1" ht="15">
      <c r="A57" s="1010" t="s">
        <v>844</v>
      </c>
      <c r="B57" s="1012"/>
      <c r="C57" s="1013">
        <v>360888</v>
      </c>
      <c r="D57" s="1014">
        <v>360888</v>
      </c>
      <c r="E57" s="1071"/>
      <c r="F57" s="1071"/>
      <c r="G57" s="1071"/>
      <c r="H57" s="1071"/>
      <c r="I57" s="1071"/>
      <c r="J57" s="1071"/>
      <c r="K57" s="1071"/>
    </row>
    <row r="58" spans="1:11" s="421" customFormat="1" ht="15">
      <c r="A58" s="1010" t="s">
        <v>845</v>
      </c>
      <c r="B58" s="1012"/>
      <c r="C58" s="1013">
        <v>3213</v>
      </c>
      <c r="D58" s="1014">
        <v>3213</v>
      </c>
      <c r="E58" s="1071"/>
      <c r="F58" s="1071"/>
      <c r="G58" s="1071"/>
      <c r="H58" s="1071"/>
      <c r="I58" s="1071"/>
      <c r="J58" s="1071"/>
      <c r="K58" s="1071"/>
    </row>
    <row r="59" spans="1:11" s="421" customFormat="1" ht="15">
      <c r="A59" s="380" t="s">
        <v>867</v>
      </c>
      <c r="B59" s="1012"/>
      <c r="C59" s="1013">
        <v>14567</v>
      </c>
      <c r="D59" s="1014">
        <v>14567</v>
      </c>
      <c r="E59" s="1071"/>
      <c r="F59" s="1071"/>
      <c r="G59" s="1071"/>
      <c r="H59" s="1071"/>
      <c r="I59" s="1071"/>
      <c r="J59" s="1071"/>
      <c r="K59" s="1071"/>
    </row>
    <row r="60" spans="1:11" s="421" customFormat="1" ht="15">
      <c r="A60" s="380" t="s">
        <v>847</v>
      </c>
      <c r="B60" s="499"/>
      <c r="C60" s="485">
        <v>839</v>
      </c>
      <c r="D60" s="489">
        <v>839</v>
      </c>
      <c r="E60" s="1071"/>
      <c r="F60" s="1071"/>
      <c r="G60" s="1071"/>
      <c r="H60" s="1071"/>
      <c r="I60" s="1071"/>
      <c r="J60" s="1071"/>
      <c r="K60" s="1071"/>
    </row>
    <row r="61" spans="1:11" s="421" customFormat="1" ht="30">
      <c r="A61" s="380" t="s">
        <v>868</v>
      </c>
      <c r="B61" s="1012"/>
      <c r="C61" s="1013">
        <v>32157</v>
      </c>
      <c r="D61" s="1014">
        <v>32157</v>
      </c>
      <c r="E61" s="1071"/>
      <c r="F61" s="1071"/>
      <c r="G61" s="1071"/>
      <c r="H61" s="1071"/>
      <c r="I61" s="1071"/>
      <c r="J61" s="1071"/>
      <c r="K61" s="1071"/>
    </row>
    <row r="62" spans="1:11" s="421" customFormat="1" ht="15">
      <c r="A62" s="1011"/>
      <c r="B62" s="1012"/>
      <c r="C62" s="1013"/>
      <c r="D62" s="1014"/>
      <c r="E62" s="1071"/>
      <c r="F62" s="1071"/>
      <c r="G62" s="1071"/>
      <c r="H62" s="1071"/>
      <c r="I62" s="1071"/>
      <c r="J62" s="1071"/>
      <c r="K62" s="1071"/>
    </row>
    <row r="63" spans="1:11" s="496" customFormat="1" ht="15">
      <c r="A63" s="409" t="s">
        <v>486</v>
      </c>
      <c r="B63" s="500">
        <f>SUM(B64:B67)</f>
        <v>190283</v>
      </c>
      <c r="C63" s="486">
        <f aca="true" t="shared" si="4" ref="C63:D63">SUM(C64:C67)</f>
        <v>176033</v>
      </c>
      <c r="D63" s="490">
        <f t="shared" si="4"/>
        <v>189033</v>
      </c>
      <c r="E63" s="1073"/>
      <c r="F63" s="1073"/>
      <c r="G63" s="1073"/>
      <c r="H63" s="1073"/>
      <c r="I63" s="1073"/>
      <c r="J63" s="1073"/>
      <c r="K63" s="1073"/>
    </row>
    <row r="64" spans="1:11" s="464" customFormat="1" ht="15">
      <c r="A64" s="380" t="s">
        <v>295</v>
      </c>
      <c r="B64" s="499">
        <v>93357</v>
      </c>
      <c r="C64" s="485">
        <v>93357</v>
      </c>
      <c r="D64" s="489">
        <v>93357</v>
      </c>
      <c r="E64" s="1074"/>
      <c r="F64" s="1074"/>
      <c r="G64" s="1074"/>
      <c r="H64" s="1074"/>
      <c r="I64" s="1074"/>
      <c r="J64" s="1074"/>
      <c r="K64" s="1074"/>
    </row>
    <row r="65" spans="1:11" s="464" customFormat="1" ht="15">
      <c r="A65" s="1090" t="s">
        <v>925</v>
      </c>
      <c r="B65" s="1091"/>
      <c r="C65" s="1092"/>
      <c r="D65" s="1093">
        <v>13000</v>
      </c>
      <c r="E65" s="1074"/>
      <c r="F65" s="1074"/>
      <c r="G65" s="1074"/>
      <c r="H65" s="1074"/>
      <c r="I65" s="1074"/>
      <c r="J65" s="1074"/>
      <c r="K65" s="1074"/>
    </row>
    <row r="66" spans="1:11" s="464" customFormat="1" ht="30">
      <c r="A66" s="379" t="s">
        <v>299</v>
      </c>
      <c r="B66" s="499">
        <v>82676</v>
      </c>
      <c r="C66" s="485">
        <v>82676</v>
      </c>
      <c r="D66" s="489">
        <v>82676</v>
      </c>
      <c r="E66" s="1074"/>
      <c r="F66" s="1074"/>
      <c r="G66" s="1074"/>
      <c r="H66" s="1074"/>
      <c r="I66" s="1074"/>
      <c r="J66" s="1074"/>
      <c r="K66" s="1074"/>
    </row>
    <row r="67" spans="1:11" s="464" customFormat="1" ht="15">
      <c r="A67" s="379" t="s">
        <v>300</v>
      </c>
      <c r="B67" s="499">
        <v>14250</v>
      </c>
      <c r="C67" s="485">
        <v>0</v>
      </c>
      <c r="D67" s="489">
        <v>0</v>
      </c>
      <c r="E67" s="1074"/>
      <c r="F67" s="1074"/>
      <c r="G67" s="1074"/>
      <c r="H67" s="1074"/>
      <c r="I67" s="1074"/>
      <c r="J67" s="1074"/>
      <c r="K67" s="1074"/>
    </row>
    <row r="68" spans="1:4" ht="15">
      <c r="A68" s="380"/>
      <c r="B68" s="499"/>
      <c r="C68" s="485"/>
      <c r="D68" s="489"/>
    </row>
    <row r="69" spans="1:4" ht="15">
      <c r="A69" s="453" t="s">
        <v>498</v>
      </c>
      <c r="B69" s="501">
        <f>B45+B63</f>
        <v>190283</v>
      </c>
      <c r="C69" s="484">
        <f>C45+C63</f>
        <v>1327568</v>
      </c>
      <c r="D69" s="488">
        <f>D45+D63</f>
        <v>1343402</v>
      </c>
    </row>
    <row r="70" spans="1:4" ht="15">
      <c r="A70" s="380"/>
      <c r="B70" s="499"/>
      <c r="C70" s="485"/>
      <c r="D70" s="489"/>
    </row>
    <row r="71" spans="1:11" s="425" customFormat="1" ht="30">
      <c r="A71" s="409" t="s">
        <v>487</v>
      </c>
      <c r="B71" s="500">
        <f>SUM(B72:B74)</f>
        <v>736</v>
      </c>
      <c r="C71" s="486">
        <f aca="true" t="shared" si="5" ref="C71:D71">SUM(C72:C74)</f>
        <v>776</v>
      </c>
      <c r="D71" s="490">
        <f t="shared" si="5"/>
        <v>776</v>
      </c>
      <c r="E71" s="1072"/>
      <c r="F71" s="1072"/>
      <c r="G71" s="1072"/>
      <c r="H71" s="1072"/>
      <c r="I71" s="1072"/>
      <c r="J71" s="1072"/>
      <c r="K71" s="1072"/>
    </row>
    <row r="72" spans="1:4" ht="15">
      <c r="A72" s="380" t="s">
        <v>488</v>
      </c>
      <c r="B72" s="499">
        <v>500</v>
      </c>
      <c r="C72" s="485">
        <v>500</v>
      </c>
      <c r="D72" s="489">
        <v>500</v>
      </c>
    </row>
    <row r="73" spans="1:4" ht="15">
      <c r="A73" s="380" t="s">
        <v>489</v>
      </c>
      <c r="B73" s="499">
        <v>56</v>
      </c>
      <c r="C73" s="485">
        <v>96</v>
      </c>
      <c r="D73" s="489">
        <v>96</v>
      </c>
    </row>
    <row r="74" spans="1:4" ht="15">
      <c r="A74" s="380" t="s">
        <v>490</v>
      </c>
      <c r="B74" s="499">
        <v>180</v>
      </c>
      <c r="C74" s="485">
        <v>180</v>
      </c>
      <c r="D74" s="489">
        <v>180</v>
      </c>
    </row>
    <row r="75" spans="1:4" ht="15">
      <c r="A75" s="380"/>
      <c r="B75" s="499"/>
      <c r="C75" s="485"/>
      <c r="D75" s="489"/>
    </row>
    <row r="76" spans="1:4" ht="15">
      <c r="A76" s="453" t="s">
        <v>499</v>
      </c>
      <c r="B76" s="501">
        <f>B71</f>
        <v>736</v>
      </c>
      <c r="C76" s="484">
        <f aca="true" t="shared" si="6" ref="C76:D76">C71</f>
        <v>776</v>
      </c>
      <c r="D76" s="488">
        <f t="shared" si="6"/>
        <v>776</v>
      </c>
    </row>
    <row r="77" spans="1:4" ht="15">
      <c r="A77" s="510"/>
      <c r="B77" s="511"/>
      <c r="C77" s="512"/>
      <c r="D77" s="513"/>
    </row>
    <row r="78" spans="1:4" ht="28.5">
      <c r="A78" s="453" t="s">
        <v>470</v>
      </c>
      <c r="B78" s="511">
        <f>B69+B76</f>
        <v>191019</v>
      </c>
      <c r="C78" s="512">
        <f aca="true" t="shared" si="7" ref="C78:D78">C69+C76</f>
        <v>1328344</v>
      </c>
      <c r="D78" s="513">
        <f t="shared" si="7"/>
        <v>1344178</v>
      </c>
    </row>
    <row r="79" spans="1:4" ht="15.75" thickBot="1">
      <c r="A79" s="410"/>
      <c r="B79" s="503"/>
      <c r="C79" s="504"/>
      <c r="D79" s="505"/>
    </row>
    <row r="80" spans="1:4" ht="29.25" thickBot="1">
      <c r="A80" s="414" t="s">
        <v>780</v>
      </c>
      <c r="B80" s="507">
        <f>B43+B78</f>
        <v>356761</v>
      </c>
      <c r="C80" s="508">
        <f>C43+C78</f>
        <v>2144228</v>
      </c>
      <c r="D80" s="509">
        <f>D43+D78</f>
        <v>2079521</v>
      </c>
    </row>
    <row r="81" spans="1:4" ht="15">
      <c r="A81" s="506"/>
      <c r="B81" s="498"/>
      <c r="C81" s="492"/>
      <c r="D81" s="493"/>
    </row>
    <row r="82" spans="1:4" ht="15">
      <c r="A82" s="408" t="s">
        <v>465</v>
      </c>
      <c r="B82" s="502"/>
      <c r="C82" s="487"/>
      <c r="D82" s="491"/>
    </row>
    <row r="83" spans="1:4" ht="15">
      <c r="A83" s="380"/>
      <c r="B83" s="499"/>
      <c r="C83" s="485"/>
      <c r="D83" s="489"/>
    </row>
    <row r="84" spans="1:4" ht="15">
      <c r="A84" s="1025" t="s">
        <v>481</v>
      </c>
      <c r="B84" s="1027">
        <f>B85</f>
        <v>0</v>
      </c>
      <c r="C84" s="1028">
        <f aca="true" t="shared" si="8" ref="C84:D84">C85</f>
        <v>16254</v>
      </c>
      <c r="D84" s="1026">
        <f t="shared" si="8"/>
        <v>16254</v>
      </c>
    </row>
    <row r="85" spans="1:4" ht="15">
      <c r="A85" s="1011" t="s">
        <v>866</v>
      </c>
      <c r="B85" s="1012"/>
      <c r="C85" s="1013">
        <v>16254</v>
      </c>
      <c r="D85" s="1014">
        <v>16254</v>
      </c>
    </row>
    <row r="86" spans="1:4" ht="15">
      <c r="A86" s="1011"/>
      <c r="B86" s="1012"/>
      <c r="C86" s="1013"/>
      <c r="D86" s="1014"/>
    </row>
    <row r="87" spans="1:11" s="473" customFormat="1" ht="30">
      <c r="A87" s="409" t="s">
        <v>487</v>
      </c>
      <c r="B87" s="500">
        <f>B89</f>
        <v>600</v>
      </c>
      <c r="C87" s="486">
        <f aca="true" t="shared" si="9" ref="C87:D87">C89</f>
        <v>600</v>
      </c>
      <c r="D87" s="490">
        <f t="shared" si="9"/>
        <v>600</v>
      </c>
      <c r="E87" s="1070"/>
      <c r="F87" s="1070"/>
      <c r="G87" s="1070"/>
      <c r="H87" s="1070"/>
      <c r="I87" s="1070"/>
      <c r="J87" s="1070"/>
      <c r="K87" s="1070"/>
    </row>
    <row r="88" spans="1:11" s="473" customFormat="1" ht="15">
      <c r="A88" s="409"/>
      <c r="B88" s="500"/>
      <c r="C88" s="486"/>
      <c r="D88" s="490"/>
      <c r="E88" s="1070"/>
      <c r="F88" s="1070"/>
      <c r="G88" s="1070"/>
      <c r="H88" s="1070"/>
      <c r="I88" s="1070"/>
      <c r="J88" s="1070"/>
      <c r="K88" s="1070"/>
    </row>
    <row r="89" spans="1:4" ht="15">
      <c r="A89" s="408" t="s">
        <v>237</v>
      </c>
      <c r="B89" s="501">
        <f>B90</f>
        <v>600</v>
      </c>
      <c r="C89" s="484">
        <f aca="true" t="shared" si="10" ref="C89:D89">C90</f>
        <v>600</v>
      </c>
      <c r="D89" s="488">
        <f t="shared" si="10"/>
        <v>600</v>
      </c>
    </row>
    <row r="90" spans="1:4" ht="15">
      <c r="A90" s="380" t="s">
        <v>491</v>
      </c>
      <c r="B90" s="499">
        <v>600</v>
      </c>
      <c r="C90" s="485">
        <v>600</v>
      </c>
      <c r="D90" s="489">
        <v>600</v>
      </c>
    </row>
    <row r="91" spans="1:4" ht="15">
      <c r="A91" s="380"/>
      <c r="B91" s="499"/>
      <c r="C91" s="485"/>
      <c r="D91" s="489"/>
    </row>
    <row r="92" spans="1:4" ht="28.5">
      <c r="A92" s="453" t="s">
        <v>470</v>
      </c>
      <c r="B92" s="500">
        <f>B87+B84</f>
        <v>600</v>
      </c>
      <c r="C92" s="486">
        <f aca="true" t="shared" si="11" ref="C92:D92">C87+C84</f>
        <v>16854</v>
      </c>
      <c r="D92" s="490">
        <f t="shared" si="11"/>
        <v>16854</v>
      </c>
    </row>
    <row r="93" spans="1:4" ht="15">
      <c r="A93" s="380"/>
      <c r="B93" s="499"/>
      <c r="C93" s="485"/>
      <c r="D93" s="489"/>
    </row>
    <row r="94" spans="1:11" s="473" customFormat="1" ht="15">
      <c r="A94" s="409" t="s">
        <v>472</v>
      </c>
      <c r="B94" s="500">
        <f>B96+B102+B106+B110</f>
        <v>31037</v>
      </c>
      <c r="C94" s="486">
        <f>C96+C102+C106+C110</f>
        <v>135324</v>
      </c>
      <c r="D94" s="490">
        <f>D96+D102+D106+D110</f>
        <v>137741</v>
      </c>
      <c r="E94" s="1070"/>
      <c r="F94" s="1070"/>
      <c r="G94" s="1070"/>
      <c r="H94" s="1070"/>
      <c r="I94" s="1070"/>
      <c r="J94" s="1070"/>
      <c r="K94" s="1070"/>
    </row>
    <row r="95" spans="1:11" s="473" customFormat="1" ht="15">
      <c r="A95" s="409"/>
      <c r="B95" s="500"/>
      <c r="C95" s="486"/>
      <c r="D95" s="490"/>
      <c r="E95" s="1070"/>
      <c r="F95" s="1070"/>
      <c r="G95" s="1070"/>
      <c r="H95" s="1070"/>
      <c r="I95" s="1070"/>
      <c r="J95" s="1070"/>
      <c r="K95" s="1070"/>
    </row>
    <row r="96" spans="1:4" ht="15">
      <c r="A96" s="408" t="s">
        <v>237</v>
      </c>
      <c r="B96" s="501">
        <f>SUM(B97:B100)</f>
        <v>0</v>
      </c>
      <c r="C96" s="484">
        <f>SUM(C97:C100)</f>
        <v>103886</v>
      </c>
      <c r="D96" s="488">
        <f>SUM(D97:D100)</f>
        <v>106303</v>
      </c>
    </row>
    <row r="97" spans="1:4" ht="15">
      <c r="A97" s="380" t="s">
        <v>492</v>
      </c>
      <c r="B97" s="499"/>
      <c r="C97" s="485">
        <v>5894</v>
      </c>
      <c r="D97" s="489">
        <v>5894</v>
      </c>
    </row>
    <row r="98" spans="1:4" ht="15">
      <c r="A98" s="1011" t="s">
        <v>866</v>
      </c>
      <c r="B98" s="1012"/>
      <c r="C98" s="1013">
        <v>89978</v>
      </c>
      <c r="D98" s="1014">
        <v>89978</v>
      </c>
    </row>
    <row r="99" spans="1:4" ht="15">
      <c r="A99" s="1011" t="s">
        <v>890</v>
      </c>
      <c r="B99" s="1012"/>
      <c r="C99" s="1013">
        <v>7186</v>
      </c>
      <c r="D99" s="1014">
        <v>9930</v>
      </c>
    </row>
    <row r="100" spans="1:4" ht="15">
      <c r="A100" s="1011" t="s">
        <v>899</v>
      </c>
      <c r="B100" s="1012"/>
      <c r="C100" s="1013">
        <v>828</v>
      </c>
      <c r="D100" s="1014">
        <v>501</v>
      </c>
    </row>
    <row r="101" spans="1:4" ht="15">
      <c r="A101" s="380"/>
      <c r="B101" s="499"/>
      <c r="C101" s="485"/>
      <c r="D101" s="489"/>
    </row>
    <row r="102" spans="1:4" ht="15">
      <c r="A102" s="408" t="s">
        <v>240</v>
      </c>
      <c r="B102" s="501">
        <f>SUM(B103:B104)</f>
        <v>10718</v>
      </c>
      <c r="C102" s="484">
        <f>SUM(C103:C104)</f>
        <v>11125</v>
      </c>
      <c r="D102" s="488">
        <f>SUM(D103:D104)</f>
        <v>11125</v>
      </c>
    </row>
    <row r="103" spans="1:4" ht="15">
      <c r="A103" s="380" t="s">
        <v>493</v>
      </c>
      <c r="B103" s="499">
        <v>10718</v>
      </c>
      <c r="C103" s="485">
        <v>10718</v>
      </c>
      <c r="D103" s="489">
        <v>10718</v>
      </c>
    </row>
    <row r="104" spans="1:4" ht="15">
      <c r="A104" s="380" t="s">
        <v>492</v>
      </c>
      <c r="B104" s="499"/>
      <c r="C104" s="485">
        <v>407</v>
      </c>
      <c r="D104" s="489">
        <v>407</v>
      </c>
    </row>
    <row r="105" spans="1:4" ht="15">
      <c r="A105" s="380"/>
      <c r="B105" s="499"/>
      <c r="C105" s="485"/>
      <c r="D105" s="489"/>
    </row>
    <row r="106" spans="1:11" s="421" customFormat="1" ht="14.25">
      <c r="A106" s="408" t="s">
        <v>239</v>
      </c>
      <c r="B106" s="501">
        <f>SUM(B107:B108)</f>
        <v>10798</v>
      </c>
      <c r="C106" s="484">
        <f>SUM(C107:C108)</f>
        <v>12405</v>
      </c>
      <c r="D106" s="488">
        <f>SUM(D107:D108)</f>
        <v>12405</v>
      </c>
      <c r="E106" s="1071"/>
      <c r="F106" s="1071"/>
      <c r="G106" s="1071"/>
      <c r="H106" s="1071"/>
      <c r="I106" s="1071"/>
      <c r="J106" s="1071"/>
      <c r="K106" s="1071"/>
    </row>
    <row r="107" spans="1:11" s="421" customFormat="1" ht="15">
      <c r="A107" s="380" t="s">
        <v>494</v>
      </c>
      <c r="B107" s="499">
        <v>10798</v>
      </c>
      <c r="C107" s="485">
        <v>11998</v>
      </c>
      <c r="D107" s="489">
        <v>11998</v>
      </c>
      <c r="E107" s="1071"/>
      <c r="F107" s="1071"/>
      <c r="G107" s="1071"/>
      <c r="H107" s="1071"/>
      <c r="I107" s="1071"/>
      <c r="J107" s="1071"/>
      <c r="K107" s="1071"/>
    </row>
    <row r="108" spans="1:4" ht="15">
      <c r="A108" s="380" t="s">
        <v>492</v>
      </c>
      <c r="B108" s="499"/>
      <c r="C108" s="485">
        <v>407</v>
      </c>
      <c r="D108" s="489">
        <v>407</v>
      </c>
    </row>
    <row r="109" spans="1:4" ht="15">
      <c r="A109" s="380"/>
      <c r="B109" s="499"/>
      <c r="C109" s="485"/>
      <c r="D109" s="489"/>
    </row>
    <row r="110" spans="1:4" ht="15">
      <c r="A110" s="408" t="s">
        <v>243</v>
      </c>
      <c r="B110" s="501">
        <f>SUM(B111:B112)</f>
        <v>9521</v>
      </c>
      <c r="C110" s="484">
        <f>SUM(C111:C112)</f>
        <v>7908</v>
      </c>
      <c r="D110" s="488">
        <f>SUM(D111:D112)</f>
        <v>7908</v>
      </c>
    </row>
    <row r="111" spans="1:4" ht="15">
      <c r="A111" s="380" t="s">
        <v>495</v>
      </c>
      <c r="B111" s="499">
        <v>9521</v>
      </c>
      <c r="C111" s="485">
        <v>7621</v>
      </c>
      <c r="D111" s="489">
        <v>7621</v>
      </c>
    </row>
    <row r="112" spans="1:4" ht="15">
      <c r="A112" s="380" t="s">
        <v>492</v>
      </c>
      <c r="B112" s="499"/>
      <c r="C112" s="485">
        <v>287</v>
      </c>
      <c r="D112" s="489">
        <v>287</v>
      </c>
    </row>
    <row r="113" spans="1:11" s="425" customFormat="1" ht="15">
      <c r="A113" s="380"/>
      <c r="B113" s="499"/>
      <c r="C113" s="485"/>
      <c r="D113" s="489"/>
      <c r="E113" s="1072"/>
      <c r="F113" s="1072"/>
      <c r="G113" s="1072"/>
      <c r="H113" s="1072"/>
      <c r="I113" s="1072"/>
      <c r="J113" s="1072"/>
      <c r="K113" s="1072"/>
    </row>
    <row r="114" spans="1:4" ht="28.5">
      <c r="A114" s="453" t="s">
        <v>469</v>
      </c>
      <c r="B114" s="500">
        <f>B94</f>
        <v>31037</v>
      </c>
      <c r="C114" s="486">
        <f aca="true" t="shared" si="12" ref="C114:D114">C94</f>
        <v>135324</v>
      </c>
      <c r="D114" s="490">
        <f t="shared" si="12"/>
        <v>137741</v>
      </c>
    </row>
    <row r="115" spans="1:4" ht="15.75" thickBot="1">
      <c r="A115" s="410"/>
      <c r="B115" s="503"/>
      <c r="C115" s="504"/>
      <c r="D115" s="505"/>
    </row>
    <row r="116" spans="1:4" ht="29.25" thickBot="1">
      <c r="A116" s="414" t="s">
        <v>779</v>
      </c>
      <c r="B116" s="507">
        <f>B92+B114</f>
        <v>31637</v>
      </c>
      <c r="C116" s="508">
        <f aca="true" t="shared" si="13" ref="C116:D116">C92+C114</f>
        <v>152178</v>
      </c>
      <c r="D116" s="509">
        <f t="shared" si="13"/>
        <v>154595</v>
      </c>
    </row>
    <row r="118" ht="15">
      <c r="A118" s="1423" t="s">
        <v>995</v>
      </c>
    </row>
    <row r="119" ht="15">
      <c r="A119" s="1423" t="s">
        <v>996</v>
      </c>
    </row>
    <row r="120" ht="15">
      <c r="A120" s="1423" t="s">
        <v>997</v>
      </c>
    </row>
    <row r="121" ht="15">
      <c r="A121" s="1423" t="s">
        <v>998</v>
      </c>
    </row>
    <row r="122" ht="15">
      <c r="A122" s="1423" t="s">
        <v>999</v>
      </c>
    </row>
  </sheetData>
  <mergeCells count="1">
    <mergeCell ref="A1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  <headerFooter>
    <oddHeader>&amp;L&amp;"Times New Roman,Normál"&amp;10 11. melléklet 1,2,3,4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view="pageLayout" workbookViewId="0" topLeftCell="A28">
      <selection activeCell="A42" sqref="A42:A46"/>
    </sheetView>
  </sheetViews>
  <sheetFormatPr defaultColWidth="9.140625" defaultRowHeight="15"/>
  <cols>
    <col min="1" max="1" width="54.28125" style="384" bestFit="1" customWidth="1"/>
    <col min="2" max="4" width="17.57421875" style="384" bestFit="1" customWidth="1"/>
    <col min="5" max="16384" width="9.140625" style="384" customWidth="1"/>
  </cols>
  <sheetData>
    <row r="1" spans="1:4" ht="15" customHeight="1">
      <c r="A1" s="1584" t="s">
        <v>500</v>
      </c>
      <c r="B1" s="1584"/>
      <c r="C1" s="1584"/>
      <c r="D1" s="1584"/>
    </row>
    <row r="2" spans="1:4" ht="15.75" thickBot="1">
      <c r="A2" s="169"/>
      <c r="B2" s="168"/>
      <c r="C2" s="168"/>
      <c r="D2" s="168"/>
    </row>
    <row r="3" spans="1:4" ht="29.25" customHeight="1">
      <c r="A3" s="1586" t="s">
        <v>501</v>
      </c>
      <c r="B3" s="1590" t="s">
        <v>502</v>
      </c>
      <c r="C3" s="1591"/>
      <c r="D3" s="1592"/>
    </row>
    <row r="4" spans="1:4" ht="15.75" thickBot="1">
      <c r="A4" s="1587"/>
      <c r="B4" s="516" t="s">
        <v>4</v>
      </c>
      <c r="C4" s="514" t="s">
        <v>895</v>
      </c>
      <c r="D4" s="515" t="s">
        <v>929</v>
      </c>
    </row>
    <row r="5" spans="1:4" ht="15">
      <c r="A5" s="517" t="s">
        <v>503</v>
      </c>
      <c r="B5" s="518">
        <v>22</v>
      </c>
      <c r="C5" s="519">
        <v>22</v>
      </c>
      <c r="D5" s="520">
        <v>22</v>
      </c>
    </row>
    <row r="6" spans="1:4" ht="15">
      <c r="A6" s="521" t="s">
        <v>254</v>
      </c>
      <c r="B6" s="522">
        <v>18.75</v>
      </c>
      <c r="C6" s="523">
        <v>18.75</v>
      </c>
      <c r="D6" s="524">
        <v>18.75</v>
      </c>
    </row>
    <row r="7" spans="1:4" ht="15">
      <c r="A7" s="521" t="s">
        <v>504</v>
      </c>
      <c r="B7" s="522">
        <v>3.5</v>
      </c>
      <c r="C7" s="523">
        <v>3.5</v>
      </c>
      <c r="D7" s="524">
        <v>3.5</v>
      </c>
    </row>
    <row r="8" spans="1:4" ht="15">
      <c r="A8" s="525" t="s">
        <v>505</v>
      </c>
      <c r="B8" s="526">
        <f>SUM(B6:B7)</f>
        <v>22.25</v>
      </c>
      <c r="C8" s="527">
        <f aca="true" t="shared" si="0" ref="C8:D8">SUM(C6:C7)</f>
        <v>22.25</v>
      </c>
      <c r="D8" s="528">
        <f t="shared" si="0"/>
        <v>22.25</v>
      </c>
    </row>
    <row r="9" spans="1:4" ht="15">
      <c r="A9" s="521" t="s">
        <v>506</v>
      </c>
      <c r="B9" s="522">
        <v>23</v>
      </c>
      <c r="C9" s="523">
        <v>24</v>
      </c>
      <c r="D9" s="524">
        <v>24</v>
      </c>
    </row>
    <row r="10" spans="1:4" ht="15">
      <c r="A10" s="521" t="s">
        <v>256</v>
      </c>
      <c r="B10" s="522">
        <v>13</v>
      </c>
      <c r="C10" s="523">
        <v>13</v>
      </c>
      <c r="D10" s="524">
        <v>13</v>
      </c>
    </row>
    <row r="11" spans="1:4" ht="15">
      <c r="A11" s="521" t="s">
        <v>507</v>
      </c>
      <c r="B11" s="522">
        <v>18</v>
      </c>
      <c r="C11" s="523">
        <v>20</v>
      </c>
      <c r="D11" s="524">
        <v>20</v>
      </c>
    </row>
    <row r="12" spans="1:4" ht="15">
      <c r="A12" s="521" t="s">
        <v>508</v>
      </c>
      <c r="B12" s="522">
        <v>7</v>
      </c>
      <c r="C12" s="523">
        <v>7</v>
      </c>
      <c r="D12" s="524">
        <v>7</v>
      </c>
    </row>
    <row r="13" spans="1:4" ht="15">
      <c r="A13" s="525" t="s">
        <v>509</v>
      </c>
      <c r="B13" s="526">
        <f>SUM(B11:B12)</f>
        <v>25</v>
      </c>
      <c r="C13" s="527">
        <f aca="true" t="shared" si="1" ref="C13:D13">SUM(C11:C12)</f>
        <v>27</v>
      </c>
      <c r="D13" s="528">
        <f t="shared" si="1"/>
        <v>27</v>
      </c>
    </row>
    <row r="14" spans="1:4" ht="15">
      <c r="A14" s="525" t="s">
        <v>510</v>
      </c>
      <c r="B14" s="526">
        <f>B5+B8+B9+B10+B13</f>
        <v>105.25</v>
      </c>
      <c r="C14" s="527">
        <f aca="true" t="shared" si="2" ref="C14:D14">C5+C8+C9+C10+C13</f>
        <v>108.25</v>
      </c>
      <c r="D14" s="528">
        <f t="shared" si="2"/>
        <v>108.25</v>
      </c>
    </row>
    <row r="15" spans="1:4" ht="15">
      <c r="A15" s="521" t="s">
        <v>511</v>
      </c>
      <c r="B15" s="522">
        <v>39.5</v>
      </c>
      <c r="C15" s="523">
        <v>39.5</v>
      </c>
      <c r="D15" s="524">
        <v>39.5</v>
      </c>
    </row>
    <row r="16" spans="1:4" ht="15">
      <c r="A16" s="521" t="s">
        <v>512</v>
      </c>
      <c r="B16" s="522">
        <v>9.5</v>
      </c>
      <c r="C16" s="523">
        <v>9.5</v>
      </c>
      <c r="D16" s="524">
        <v>9.5</v>
      </c>
    </row>
    <row r="17" spans="1:4" ht="15">
      <c r="A17" s="521" t="s">
        <v>273</v>
      </c>
      <c r="B17" s="522">
        <v>14.5</v>
      </c>
      <c r="C17" s="523">
        <v>14.5</v>
      </c>
      <c r="D17" s="524">
        <v>14.5</v>
      </c>
    </row>
    <row r="18" spans="1:4" ht="15">
      <c r="A18" s="521" t="s">
        <v>513</v>
      </c>
      <c r="B18" s="522">
        <v>10</v>
      </c>
      <c r="C18" s="523">
        <v>10</v>
      </c>
      <c r="D18" s="524">
        <v>10</v>
      </c>
    </row>
    <row r="19" spans="1:4" ht="15">
      <c r="A19" s="407" t="s">
        <v>514</v>
      </c>
      <c r="B19" s="522">
        <v>42</v>
      </c>
      <c r="C19" s="523">
        <v>42</v>
      </c>
      <c r="D19" s="524">
        <v>42</v>
      </c>
    </row>
    <row r="20" spans="1:4" ht="15">
      <c r="A20" s="529" t="s">
        <v>516</v>
      </c>
      <c r="B20" s="530">
        <f>SUM(B14:B19)</f>
        <v>220.75</v>
      </c>
      <c r="C20" s="531">
        <f>SUM(C14:C19)</f>
        <v>223.75</v>
      </c>
      <c r="D20" s="532">
        <f>SUM(D14:D19)</f>
        <v>223.75</v>
      </c>
    </row>
    <row r="21" spans="1:4" ht="15">
      <c r="A21" s="521"/>
      <c r="B21" s="522"/>
      <c r="C21" s="523"/>
      <c r="D21" s="524"/>
    </row>
    <row r="22" spans="1:4" ht="15">
      <c r="A22" s="529" t="s">
        <v>77</v>
      </c>
      <c r="B22" s="522"/>
      <c r="C22" s="523"/>
      <c r="D22" s="524"/>
    </row>
    <row r="23" spans="1:4" ht="15">
      <c r="A23" s="521" t="s">
        <v>519</v>
      </c>
      <c r="B23" s="533">
        <v>83</v>
      </c>
      <c r="C23" s="534">
        <v>83</v>
      </c>
      <c r="D23" s="535">
        <v>83</v>
      </c>
    </row>
    <row r="24" spans="1:4" ht="15">
      <c r="A24" s="536" t="s">
        <v>518</v>
      </c>
      <c r="B24" s="522">
        <v>5</v>
      </c>
      <c r="C24" s="523">
        <v>5</v>
      </c>
      <c r="D24" s="524">
        <v>5</v>
      </c>
    </row>
    <row r="25" spans="1:4" ht="15">
      <c r="A25" s="521" t="s">
        <v>517</v>
      </c>
      <c r="B25" s="522">
        <v>3</v>
      </c>
      <c r="C25" s="523">
        <v>3</v>
      </c>
      <c r="D25" s="524">
        <v>3</v>
      </c>
    </row>
    <row r="26" spans="1:4" ht="15">
      <c r="A26" s="521" t="s">
        <v>520</v>
      </c>
      <c r="B26" s="522">
        <v>6</v>
      </c>
      <c r="C26" s="523">
        <v>6</v>
      </c>
      <c r="D26" s="524">
        <v>6</v>
      </c>
    </row>
    <row r="27" spans="1:4" ht="15">
      <c r="A27" s="529" t="s">
        <v>521</v>
      </c>
      <c r="B27" s="530">
        <f>SUM(B23:B26)</f>
        <v>97</v>
      </c>
      <c r="C27" s="531">
        <f aca="true" t="shared" si="3" ref="C27:D27">SUM(C23:C26)</f>
        <v>97</v>
      </c>
      <c r="D27" s="532">
        <f t="shared" si="3"/>
        <v>97</v>
      </c>
    </row>
    <row r="28" spans="1:4" ht="15">
      <c r="A28" s="529"/>
      <c r="B28" s="522"/>
      <c r="C28" s="523"/>
      <c r="D28" s="524"/>
    </row>
    <row r="29" spans="1:4" ht="15">
      <c r="A29" s="529" t="s">
        <v>522</v>
      </c>
      <c r="B29" s="530">
        <v>2</v>
      </c>
      <c r="C29" s="531">
        <v>2</v>
      </c>
      <c r="D29" s="532">
        <v>2</v>
      </c>
    </row>
    <row r="30" spans="1:4" ht="15.75" thickBot="1">
      <c r="A30" s="537"/>
      <c r="B30" s="538"/>
      <c r="C30" s="539"/>
      <c r="D30" s="540"/>
    </row>
    <row r="31" spans="1:4" ht="15.75" thickBot="1">
      <c r="A31" s="541" t="s">
        <v>70</v>
      </c>
      <c r="B31" s="542">
        <f>B20+B27+B29</f>
        <v>319.75</v>
      </c>
      <c r="C31" s="543">
        <f aca="true" t="shared" si="4" ref="C31:D31">C20+C27+C29</f>
        <v>322.75</v>
      </c>
      <c r="D31" s="544">
        <f t="shared" si="4"/>
        <v>322.75</v>
      </c>
    </row>
    <row r="32" spans="1:4" ht="15">
      <c r="A32" s="545"/>
      <c r="B32" s="546"/>
      <c r="C32" s="546"/>
      <c r="D32" s="546"/>
    </row>
    <row r="33" spans="1:4" ht="15">
      <c r="A33" s="547"/>
      <c r="B33" s="168"/>
      <c r="C33" s="168"/>
      <c r="D33" s="168"/>
    </row>
    <row r="34" spans="1:4" ht="15">
      <c r="A34" s="1593" t="s">
        <v>523</v>
      </c>
      <c r="B34" s="1593"/>
      <c r="C34" s="1593"/>
      <c r="D34" s="1593"/>
    </row>
    <row r="35" spans="1:4" ht="15.75" thickBot="1">
      <c r="A35" s="168"/>
      <c r="B35" s="168"/>
      <c r="C35" s="168"/>
      <c r="D35" s="168"/>
    </row>
    <row r="36" spans="1:4" ht="15">
      <c r="A36" s="1588" t="s">
        <v>3</v>
      </c>
      <c r="B36" s="1594" t="s">
        <v>524</v>
      </c>
      <c r="C36" s="1595"/>
      <c r="D36" s="1596"/>
    </row>
    <row r="37" spans="1:4" ht="15.75" thickBot="1">
      <c r="A37" s="1589"/>
      <c r="B37" s="516" t="s">
        <v>4</v>
      </c>
      <c r="C37" s="514" t="s">
        <v>892</v>
      </c>
      <c r="D37" s="515" t="s">
        <v>931</v>
      </c>
    </row>
    <row r="38" spans="1:4" ht="15.75" thickBot="1">
      <c r="A38" s="548" t="s">
        <v>515</v>
      </c>
      <c r="B38" s="549">
        <v>90</v>
      </c>
      <c r="C38" s="550">
        <v>90</v>
      </c>
      <c r="D38" s="551">
        <v>44</v>
      </c>
    </row>
    <row r="39" spans="1:4" ht="15.75" thickBot="1">
      <c r="A39" s="552" t="s">
        <v>78</v>
      </c>
      <c r="B39" s="553">
        <f>B38</f>
        <v>90</v>
      </c>
      <c r="C39" s="554">
        <f aca="true" t="shared" si="5" ref="C39:D39">C38</f>
        <v>90</v>
      </c>
      <c r="D39" s="555">
        <f t="shared" si="5"/>
        <v>44</v>
      </c>
    </row>
    <row r="42" ht="15">
      <c r="A42" s="1423" t="s">
        <v>995</v>
      </c>
    </row>
    <row r="43" ht="15">
      <c r="A43" s="1423" t="s">
        <v>996</v>
      </c>
    </row>
    <row r="44" ht="15">
      <c r="A44" s="1423" t="s">
        <v>997</v>
      </c>
    </row>
    <row r="45" ht="15">
      <c r="A45" s="1423" t="s">
        <v>998</v>
      </c>
    </row>
    <row r="46" ht="15">
      <c r="A46" s="1423" t="s">
        <v>999</v>
      </c>
    </row>
  </sheetData>
  <mergeCells count="6">
    <mergeCell ref="A3:A4"/>
    <mergeCell ref="A36:A37"/>
    <mergeCell ref="B3:D3"/>
    <mergeCell ref="A1:D1"/>
    <mergeCell ref="A34:D34"/>
    <mergeCell ref="B36:D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&amp;L&amp;"Times New Roman,Normál"&amp;10 12. melléklet 1,2,3,4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Layout" workbookViewId="0" topLeftCell="A1">
      <selection activeCell="C24" sqref="C24"/>
    </sheetView>
  </sheetViews>
  <sheetFormatPr defaultColWidth="9.140625" defaultRowHeight="15"/>
  <cols>
    <col min="1" max="1" width="4.7109375" style="567" customWidth="1"/>
    <col min="2" max="2" width="18.8515625" style="567" customWidth="1"/>
    <col min="3" max="11" width="14.7109375" style="567" customWidth="1"/>
    <col min="12" max="12" width="19.8515625" style="567" customWidth="1"/>
    <col min="13" max="16384" width="9.140625" style="567" customWidth="1"/>
  </cols>
  <sheetData>
    <row r="1" spans="1:12" ht="15">
      <c r="A1" s="1597" t="s">
        <v>525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556"/>
    </row>
    <row r="2" spans="1:12" ht="15">
      <c r="A2" s="1597" t="s">
        <v>526</v>
      </c>
      <c r="B2" s="1597"/>
      <c r="C2" s="1597"/>
      <c r="D2" s="1597"/>
      <c r="E2" s="1597"/>
      <c r="F2" s="1597"/>
      <c r="G2" s="1597"/>
      <c r="H2" s="1597"/>
      <c r="I2" s="1597"/>
      <c r="J2" s="1597"/>
      <c r="K2" s="1597"/>
      <c r="L2" s="556"/>
    </row>
    <row r="3" spans="1:12" ht="15.75" thickBot="1">
      <c r="A3" s="1597"/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556"/>
    </row>
    <row r="4" spans="1:12" ht="15" customHeight="1">
      <c r="A4" s="1601" t="s">
        <v>3</v>
      </c>
      <c r="B4" s="1602"/>
      <c r="C4" s="1598" t="s">
        <v>527</v>
      </c>
      <c r="D4" s="1599"/>
      <c r="E4" s="1600"/>
      <c r="F4" s="1601" t="s">
        <v>528</v>
      </c>
      <c r="G4" s="1599"/>
      <c r="H4" s="1602"/>
      <c r="I4" s="1598" t="s">
        <v>70</v>
      </c>
      <c r="J4" s="1599"/>
      <c r="K4" s="1602"/>
      <c r="L4" s="557"/>
    </row>
    <row r="5" spans="1:12" ht="15.75" thickBot="1">
      <c r="A5" s="1605"/>
      <c r="B5" s="1606"/>
      <c r="C5" s="571" t="s">
        <v>5</v>
      </c>
      <c r="D5" s="570" t="s">
        <v>895</v>
      </c>
      <c r="E5" s="576" t="s">
        <v>931</v>
      </c>
      <c r="F5" s="579" t="s">
        <v>5</v>
      </c>
      <c r="G5" s="570" t="s">
        <v>895</v>
      </c>
      <c r="H5" s="1053" t="s">
        <v>931</v>
      </c>
      <c r="I5" s="571" t="s">
        <v>5</v>
      </c>
      <c r="J5" s="570" t="s">
        <v>895</v>
      </c>
      <c r="K5" s="1053" t="s">
        <v>931</v>
      </c>
      <c r="L5" s="557"/>
    </row>
    <row r="6" spans="1:12" s="751" customFormat="1" ht="15">
      <c r="A6" s="1607" t="s">
        <v>529</v>
      </c>
      <c r="B6" s="1608"/>
      <c r="C6" s="742">
        <v>105091</v>
      </c>
      <c r="D6" s="743">
        <v>105091</v>
      </c>
      <c r="E6" s="744">
        <v>105091</v>
      </c>
      <c r="F6" s="745">
        <v>536822</v>
      </c>
      <c r="G6" s="743">
        <v>536822</v>
      </c>
      <c r="H6" s="746">
        <v>536822</v>
      </c>
      <c r="I6" s="747">
        <f>C6+F6</f>
        <v>641913</v>
      </c>
      <c r="J6" s="748">
        <f aca="true" t="shared" si="0" ref="J6:K26">D6+G6</f>
        <v>641913</v>
      </c>
      <c r="K6" s="749">
        <f t="shared" si="0"/>
        <v>641913</v>
      </c>
      <c r="L6" s="750"/>
    </row>
    <row r="7" spans="1:12" ht="15">
      <c r="A7" s="562"/>
      <c r="B7" s="574" t="s">
        <v>530</v>
      </c>
      <c r="C7" s="572">
        <v>43788</v>
      </c>
      <c r="D7" s="558">
        <v>43788</v>
      </c>
      <c r="E7" s="559">
        <v>35067</v>
      </c>
      <c r="F7" s="580">
        <v>107279</v>
      </c>
      <c r="G7" s="558">
        <v>107279</v>
      </c>
      <c r="H7" s="581">
        <v>72000</v>
      </c>
      <c r="I7" s="577">
        <f aca="true" t="shared" si="1" ref="I7:I26">C7+F7</f>
        <v>151067</v>
      </c>
      <c r="J7" s="568">
        <f t="shared" si="0"/>
        <v>151067</v>
      </c>
      <c r="K7" s="560">
        <f t="shared" si="0"/>
        <v>107067</v>
      </c>
      <c r="L7" s="561"/>
    </row>
    <row r="8" spans="1:12" ht="15">
      <c r="A8" s="562"/>
      <c r="B8" s="574" t="s">
        <v>531</v>
      </c>
      <c r="C8" s="572">
        <v>1089</v>
      </c>
      <c r="D8" s="558">
        <v>1089</v>
      </c>
      <c r="E8" s="559">
        <v>1089</v>
      </c>
      <c r="F8" s="580">
        <v>5956</v>
      </c>
      <c r="G8" s="558">
        <v>5956</v>
      </c>
      <c r="H8" s="581">
        <v>5956</v>
      </c>
      <c r="I8" s="577">
        <f t="shared" si="1"/>
        <v>7045</v>
      </c>
      <c r="J8" s="568">
        <f t="shared" si="0"/>
        <v>7045</v>
      </c>
      <c r="K8" s="560">
        <f t="shared" si="0"/>
        <v>7045</v>
      </c>
      <c r="L8" s="561"/>
    </row>
    <row r="9" spans="1:12" s="751" customFormat="1" ht="15">
      <c r="A9" s="1603" t="s">
        <v>532</v>
      </c>
      <c r="B9" s="1604"/>
      <c r="C9" s="752">
        <f>C6-C7</f>
        <v>61303</v>
      </c>
      <c r="D9" s="753">
        <v>61303</v>
      </c>
      <c r="E9" s="754">
        <v>70024</v>
      </c>
      <c r="F9" s="755">
        <f>F6-F7</f>
        <v>429543</v>
      </c>
      <c r="G9" s="753">
        <f>G6-G7</f>
        <v>429543</v>
      </c>
      <c r="H9" s="756">
        <f>H6-H7</f>
        <v>464822</v>
      </c>
      <c r="I9" s="757">
        <f t="shared" si="1"/>
        <v>490846</v>
      </c>
      <c r="J9" s="758">
        <f t="shared" si="0"/>
        <v>490846</v>
      </c>
      <c r="K9" s="759">
        <f t="shared" si="0"/>
        <v>534846</v>
      </c>
      <c r="L9" s="750"/>
    </row>
    <row r="10" spans="1:12" ht="15">
      <c r="A10" s="562"/>
      <c r="B10" s="574" t="s">
        <v>530</v>
      </c>
      <c r="C10" s="572">
        <v>35030</v>
      </c>
      <c r="D10" s="558">
        <v>35030</v>
      </c>
      <c r="E10" s="559">
        <v>35030</v>
      </c>
      <c r="F10" s="580">
        <v>71519</v>
      </c>
      <c r="G10" s="558">
        <v>71519</v>
      </c>
      <c r="H10" s="581">
        <v>71519</v>
      </c>
      <c r="I10" s="577">
        <f t="shared" si="1"/>
        <v>106549</v>
      </c>
      <c r="J10" s="568">
        <f t="shared" si="0"/>
        <v>106549</v>
      </c>
      <c r="K10" s="560">
        <f t="shared" si="0"/>
        <v>106549</v>
      </c>
      <c r="L10" s="561"/>
    </row>
    <row r="11" spans="1:12" ht="15">
      <c r="A11" s="562"/>
      <c r="B11" s="574" t="s">
        <v>531</v>
      </c>
      <c r="C11" s="572">
        <v>478</v>
      </c>
      <c r="D11" s="558">
        <v>478</v>
      </c>
      <c r="E11" s="559">
        <v>478</v>
      </c>
      <c r="F11" s="580">
        <v>3964</v>
      </c>
      <c r="G11" s="558">
        <v>3964</v>
      </c>
      <c r="H11" s="581">
        <v>3964</v>
      </c>
      <c r="I11" s="577">
        <f t="shared" si="1"/>
        <v>4442</v>
      </c>
      <c r="J11" s="568">
        <f t="shared" si="0"/>
        <v>4442</v>
      </c>
      <c r="K11" s="560">
        <f t="shared" si="0"/>
        <v>4442</v>
      </c>
      <c r="L11" s="561"/>
    </row>
    <row r="12" spans="1:12" s="751" customFormat="1" ht="15">
      <c r="A12" s="1603" t="s">
        <v>533</v>
      </c>
      <c r="B12" s="1604"/>
      <c r="C12" s="752">
        <f aca="true" t="shared" si="2" ref="C12:F12">C9-C10</f>
        <v>26273</v>
      </c>
      <c r="D12" s="753">
        <v>26273</v>
      </c>
      <c r="E12" s="754">
        <v>34994</v>
      </c>
      <c r="F12" s="755">
        <f t="shared" si="2"/>
        <v>358024</v>
      </c>
      <c r="G12" s="753">
        <f aca="true" t="shared" si="3" ref="G12:H12">G9-G10</f>
        <v>358024</v>
      </c>
      <c r="H12" s="756">
        <f t="shared" si="3"/>
        <v>393303</v>
      </c>
      <c r="I12" s="757">
        <f t="shared" si="1"/>
        <v>384297</v>
      </c>
      <c r="J12" s="758">
        <f t="shared" si="0"/>
        <v>384297</v>
      </c>
      <c r="K12" s="759">
        <f t="shared" si="0"/>
        <v>428297</v>
      </c>
      <c r="L12" s="750"/>
    </row>
    <row r="13" spans="1:12" ht="15">
      <c r="A13" s="562"/>
      <c r="B13" s="574" t="s">
        <v>530</v>
      </c>
      <c r="C13" s="572">
        <v>26273</v>
      </c>
      <c r="D13" s="558">
        <v>26273</v>
      </c>
      <c r="E13" s="559">
        <v>34994</v>
      </c>
      <c r="F13" s="580">
        <v>71519</v>
      </c>
      <c r="G13" s="558">
        <v>71519</v>
      </c>
      <c r="H13" s="581">
        <v>71519</v>
      </c>
      <c r="I13" s="577">
        <f t="shared" si="1"/>
        <v>97792</v>
      </c>
      <c r="J13" s="568">
        <f t="shared" si="0"/>
        <v>97792</v>
      </c>
      <c r="K13" s="560">
        <f t="shared" si="0"/>
        <v>106513</v>
      </c>
      <c r="L13" s="561"/>
    </row>
    <row r="14" spans="1:12" ht="15">
      <c r="A14" s="562"/>
      <c r="B14" s="574" t="s">
        <v>531</v>
      </c>
      <c r="C14" s="572">
        <v>130</v>
      </c>
      <c r="D14" s="558">
        <v>130</v>
      </c>
      <c r="E14" s="559">
        <v>130</v>
      </c>
      <c r="F14" s="580">
        <v>3284</v>
      </c>
      <c r="G14" s="558">
        <v>3284</v>
      </c>
      <c r="H14" s="581">
        <v>3284</v>
      </c>
      <c r="I14" s="577">
        <f t="shared" si="1"/>
        <v>3414</v>
      </c>
      <c r="J14" s="568">
        <f t="shared" si="0"/>
        <v>3414</v>
      </c>
      <c r="K14" s="560">
        <f t="shared" si="0"/>
        <v>3414</v>
      </c>
      <c r="L14" s="561"/>
    </row>
    <row r="15" spans="1:12" s="751" customFormat="1" ht="15">
      <c r="A15" s="1603" t="s">
        <v>534</v>
      </c>
      <c r="B15" s="1604"/>
      <c r="C15" s="752"/>
      <c r="D15" s="753"/>
      <c r="E15" s="754"/>
      <c r="F15" s="755">
        <f>F12-F13</f>
        <v>286505</v>
      </c>
      <c r="G15" s="753">
        <f>G12-G13</f>
        <v>286505</v>
      </c>
      <c r="H15" s="756">
        <f>H12-H13</f>
        <v>321784</v>
      </c>
      <c r="I15" s="757">
        <f t="shared" si="1"/>
        <v>286505</v>
      </c>
      <c r="J15" s="758">
        <f t="shared" si="0"/>
        <v>286505</v>
      </c>
      <c r="K15" s="759">
        <f t="shared" si="0"/>
        <v>321784</v>
      </c>
      <c r="L15" s="750"/>
    </row>
    <row r="16" spans="1:12" ht="15">
      <c r="A16" s="562"/>
      <c r="B16" s="574" t="s">
        <v>530</v>
      </c>
      <c r="C16" s="572"/>
      <c r="D16" s="558"/>
      <c r="E16" s="559"/>
      <c r="F16" s="580">
        <v>71519</v>
      </c>
      <c r="G16" s="558">
        <v>71519</v>
      </c>
      <c r="H16" s="581">
        <v>71519</v>
      </c>
      <c r="I16" s="577">
        <f t="shared" si="1"/>
        <v>71519</v>
      </c>
      <c r="J16" s="568">
        <f t="shared" si="0"/>
        <v>71519</v>
      </c>
      <c r="K16" s="560">
        <f t="shared" si="0"/>
        <v>71519</v>
      </c>
      <c r="L16" s="561"/>
    </row>
    <row r="17" spans="1:12" ht="15">
      <c r="A17" s="562"/>
      <c r="B17" s="574" t="s">
        <v>531</v>
      </c>
      <c r="C17" s="572"/>
      <c r="D17" s="558"/>
      <c r="E17" s="559"/>
      <c r="F17" s="580">
        <v>2586</v>
      </c>
      <c r="G17" s="558">
        <v>2586</v>
      </c>
      <c r="H17" s="581">
        <v>2586</v>
      </c>
      <c r="I17" s="577">
        <f t="shared" si="1"/>
        <v>2586</v>
      </c>
      <c r="J17" s="568">
        <f t="shared" si="0"/>
        <v>2586</v>
      </c>
      <c r="K17" s="560">
        <f t="shared" si="0"/>
        <v>2586</v>
      </c>
      <c r="L17" s="561"/>
    </row>
    <row r="18" spans="1:12" s="751" customFormat="1" ht="15">
      <c r="A18" s="1603" t="s">
        <v>535</v>
      </c>
      <c r="B18" s="1604"/>
      <c r="C18" s="752"/>
      <c r="D18" s="753"/>
      <c r="E18" s="754"/>
      <c r="F18" s="755">
        <f>F15-F16</f>
        <v>214986</v>
      </c>
      <c r="G18" s="753">
        <f>G15-G16</f>
        <v>214986</v>
      </c>
      <c r="H18" s="756">
        <f>H15-H16</f>
        <v>250265</v>
      </c>
      <c r="I18" s="757">
        <f t="shared" si="1"/>
        <v>214986</v>
      </c>
      <c r="J18" s="758">
        <f t="shared" si="0"/>
        <v>214986</v>
      </c>
      <c r="K18" s="759">
        <f t="shared" si="0"/>
        <v>250265</v>
      </c>
      <c r="L18" s="750"/>
    </row>
    <row r="19" spans="1:12" ht="15">
      <c r="A19" s="562"/>
      <c r="B19" s="574" t="s">
        <v>530</v>
      </c>
      <c r="C19" s="572"/>
      <c r="D19" s="558"/>
      <c r="E19" s="559"/>
      <c r="F19" s="580">
        <v>71519</v>
      </c>
      <c r="G19" s="558">
        <v>71519</v>
      </c>
      <c r="H19" s="581">
        <v>71519</v>
      </c>
      <c r="I19" s="577">
        <f t="shared" si="1"/>
        <v>71519</v>
      </c>
      <c r="J19" s="568">
        <f t="shared" si="0"/>
        <v>71519</v>
      </c>
      <c r="K19" s="560">
        <f t="shared" si="0"/>
        <v>71519</v>
      </c>
      <c r="L19" s="561"/>
    </row>
    <row r="20" spans="1:12" ht="15">
      <c r="A20" s="562"/>
      <c r="B20" s="574" t="s">
        <v>531</v>
      </c>
      <c r="C20" s="572"/>
      <c r="D20" s="558"/>
      <c r="E20" s="559"/>
      <c r="F20" s="580">
        <v>1897</v>
      </c>
      <c r="G20" s="558">
        <v>1897</v>
      </c>
      <c r="H20" s="581">
        <v>1897</v>
      </c>
      <c r="I20" s="577">
        <f t="shared" si="1"/>
        <v>1897</v>
      </c>
      <c r="J20" s="568">
        <f t="shared" si="0"/>
        <v>1897</v>
      </c>
      <c r="K20" s="560">
        <f t="shared" si="0"/>
        <v>1897</v>
      </c>
      <c r="L20" s="561"/>
    </row>
    <row r="21" spans="1:12" s="751" customFormat="1" ht="15">
      <c r="A21" s="1603" t="s">
        <v>536</v>
      </c>
      <c r="B21" s="1604"/>
      <c r="C21" s="752"/>
      <c r="D21" s="753"/>
      <c r="E21" s="754"/>
      <c r="F21" s="755">
        <f>F18-F19</f>
        <v>143467</v>
      </c>
      <c r="G21" s="753">
        <f>G18-G19</f>
        <v>143467</v>
      </c>
      <c r="H21" s="756">
        <f>H18-H19</f>
        <v>178746</v>
      </c>
      <c r="I21" s="757">
        <f t="shared" si="1"/>
        <v>143467</v>
      </c>
      <c r="J21" s="758">
        <f t="shared" si="0"/>
        <v>143467</v>
      </c>
      <c r="K21" s="759">
        <f t="shared" si="0"/>
        <v>178746</v>
      </c>
      <c r="L21" s="750"/>
    </row>
    <row r="22" spans="1:12" ht="15">
      <c r="A22" s="562"/>
      <c r="B22" s="574" t="s">
        <v>530</v>
      </c>
      <c r="C22" s="572"/>
      <c r="D22" s="558"/>
      <c r="E22" s="559"/>
      <c r="F22" s="580">
        <v>71519</v>
      </c>
      <c r="G22" s="558">
        <v>71519</v>
      </c>
      <c r="H22" s="581">
        <v>71519</v>
      </c>
      <c r="I22" s="577">
        <f t="shared" si="1"/>
        <v>71519</v>
      </c>
      <c r="J22" s="568">
        <f t="shared" si="0"/>
        <v>71519</v>
      </c>
      <c r="K22" s="560">
        <f t="shared" si="0"/>
        <v>71519</v>
      </c>
      <c r="L22" s="561"/>
    </row>
    <row r="23" spans="1:12" ht="15">
      <c r="A23" s="562"/>
      <c r="B23" s="574" t="s">
        <v>531</v>
      </c>
      <c r="C23" s="572"/>
      <c r="D23" s="558"/>
      <c r="E23" s="559"/>
      <c r="F23" s="580">
        <v>1208</v>
      </c>
      <c r="G23" s="558">
        <v>1208</v>
      </c>
      <c r="H23" s="581">
        <v>1208</v>
      </c>
      <c r="I23" s="577">
        <f t="shared" si="1"/>
        <v>1208</v>
      </c>
      <c r="J23" s="568">
        <f t="shared" si="0"/>
        <v>1208</v>
      </c>
      <c r="K23" s="560">
        <f t="shared" si="0"/>
        <v>1208</v>
      </c>
      <c r="L23" s="561"/>
    </row>
    <row r="24" spans="1:12" s="751" customFormat="1" ht="15">
      <c r="A24" s="1603" t="s">
        <v>537</v>
      </c>
      <c r="B24" s="1604"/>
      <c r="C24" s="752"/>
      <c r="D24" s="753"/>
      <c r="E24" s="754"/>
      <c r="F24" s="755">
        <f>F21-F22</f>
        <v>71948</v>
      </c>
      <c r="G24" s="753">
        <f>G21-G22</f>
        <v>71948</v>
      </c>
      <c r="H24" s="756">
        <f>H21-H22</f>
        <v>107227</v>
      </c>
      <c r="I24" s="757">
        <f t="shared" si="1"/>
        <v>71948</v>
      </c>
      <c r="J24" s="758">
        <f t="shared" si="0"/>
        <v>71948</v>
      </c>
      <c r="K24" s="759">
        <f t="shared" si="0"/>
        <v>107227</v>
      </c>
      <c r="L24" s="750"/>
    </row>
    <row r="25" spans="1:12" ht="15">
      <c r="A25" s="562"/>
      <c r="B25" s="574" t="s">
        <v>530</v>
      </c>
      <c r="C25" s="572"/>
      <c r="D25" s="558"/>
      <c r="E25" s="559"/>
      <c r="F25" s="580">
        <v>71948</v>
      </c>
      <c r="G25" s="558">
        <v>71948</v>
      </c>
      <c r="H25" s="581">
        <v>107227</v>
      </c>
      <c r="I25" s="577">
        <f t="shared" si="1"/>
        <v>71948</v>
      </c>
      <c r="J25" s="568">
        <f t="shared" si="0"/>
        <v>71948</v>
      </c>
      <c r="K25" s="560">
        <f t="shared" si="0"/>
        <v>107227</v>
      </c>
      <c r="L25" s="561"/>
    </row>
    <row r="26" spans="1:12" ht="15.75" thickBot="1">
      <c r="A26" s="563"/>
      <c r="B26" s="575" t="s">
        <v>531</v>
      </c>
      <c r="C26" s="573"/>
      <c r="D26" s="564"/>
      <c r="E26" s="565"/>
      <c r="F26" s="582">
        <v>521</v>
      </c>
      <c r="G26" s="564">
        <v>521</v>
      </c>
      <c r="H26" s="583">
        <v>521</v>
      </c>
      <c r="I26" s="578">
        <f t="shared" si="1"/>
        <v>521</v>
      </c>
      <c r="J26" s="569">
        <f t="shared" si="0"/>
        <v>521</v>
      </c>
      <c r="K26" s="566">
        <f t="shared" si="0"/>
        <v>521</v>
      </c>
      <c r="L26" s="561"/>
    </row>
    <row r="28" ht="15">
      <c r="A28" s="1423" t="s">
        <v>995</v>
      </c>
    </row>
    <row r="29" ht="15">
      <c r="A29" s="1423" t="s">
        <v>996</v>
      </c>
    </row>
    <row r="30" ht="15">
      <c r="A30" s="1423" t="s">
        <v>997</v>
      </c>
    </row>
    <row r="31" ht="15">
      <c r="A31" s="1423" t="s">
        <v>998</v>
      </c>
    </row>
    <row r="32" ht="15">
      <c r="A32" s="1423" t="s">
        <v>999</v>
      </c>
    </row>
  </sheetData>
  <mergeCells count="14">
    <mergeCell ref="A24:B24"/>
    <mergeCell ref="A3:K3"/>
    <mergeCell ref="A4:B5"/>
    <mergeCell ref="A6:B6"/>
    <mergeCell ref="A9:B9"/>
    <mergeCell ref="A12:B12"/>
    <mergeCell ref="A15:B15"/>
    <mergeCell ref="A18:B18"/>
    <mergeCell ref="A21:B21"/>
    <mergeCell ref="A1:K1"/>
    <mergeCell ref="A2:K2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&amp;L&amp;"Times New Roman,Normál"&amp;10 13. melléklet 1,2,3,4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Layout" workbookViewId="0" topLeftCell="A19">
      <selection activeCell="A21" sqref="A21:C25"/>
    </sheetView>
  </sheetViews>
  <sheetFormatPr defaultColWidth="9.140625" defaultRowHeight="15"/>
  <cols>
    <col min="1" max="1" width="20.8515625" style="384" customWidth="1"/>
    <col min="2" max="3" width="10.140625" style="384" bestFit="1" customWidth="1"/>
    <col min="4" max="4" width="10.421875" style="384" customWidth="1"/>
    <col min="5" max="10" width="10.140625" style="384" bestFit="1" customWidth="1"/>
    <col min="11" max="13" width="11.28125" style="384" bestFit="1" customWidth="1"/>
    <col min="14" max="16384" width="9.140625" style="384" customWidth="1"/>
  </cols>
  <sheetData>
    <row r="1" spans="1:13" ht="15">
      <c r="A1" s="1609" t="s">
        <v>538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</row>
    <row r="2" spans="1:11" ht="15.75" thickBot="1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3" ht="57.75" thickBot="1">
      <c r="A3" s="599" t="s">
        <v>3</v>
      </c>
      <c r="B3" s="597" t="s">
        <v>776</v>
      </c>
      <c r="C3" s="597" t="s">
        <v>914</v>
      </c>
      <c r="D3" s="597" t="s">
        <v>975</v>
      </c>
      <c r="E3" s="597" t="s">
        <v>539</v>
      </c>
      <c r="F3" s="597" t="s">
        <v>540</v>
      </c>
      <c r="G3" s="597" t="s">
        <v>541</v>
      </c>
      <c r="H3" s="597" t="s">
        <v>542</v>
      </c>
      <c r="I3" s="597" t="s">
        <v>543</v>
      </c>
      <c r="J3" s="600" t="s">
        <v>544</v>
      </c>
      <c r="K3" s="599" t="s">
        <v>794</v>
      </c>
      <c r="L3" s="597" t="s">
        <v>804</v>
      </c>
      <c r="M3" s="598" t="s">
        <v>976</v>
      </c>
    </row>
    <row r="4" spans="1:13" ht="15" customHeight="1">
      <c r="A4" s="594" t="s">
        <v>545</v>
      </c>
      <c r="B4" s="595">
        <v>1943000</v>
      </c>
      <c r="C4" s="595">
        <v>1943000</v>
      </c>
      <c r="D4" s="595">
        <v>2094357</v>
      </c>
      <c r="E4" s="595">
        <v>2017000</v>
      </c>
      <c r="F4" s="595">
        <v>2017000</v>
      </c>
      <c r="G4" s="595">
        <v>2025000</v>
      </c>
      <c r="H4" s="595">
        <v>2025000</v>
      </c>
      <c r="I4" s="595">
        <v>2025000</v>
      </c>
      <c r="J4" s="601">
        <v>2025000</v>
      </c>
      <c r="K4" s="605">
        <f>B4+SUM(E4:J4)</f>
        <v>14077000</v>
      </c>
      <c r="L4" s="595">
        <f>SUM(C4:I4)</f>
        <v>14146357</v>
      </c>
      <c r="M4" s="596">
        <f>SUM(D4:J4)</f>
        <v>14228357</v>
      </c>
    </row>
    <row r="5" spans="1:13" ht="57">
      <c r="A5" s="588" t="s">
        <v>546</v>
      </c>
      <c r="B5" s="584">
        <v>150</v>
      </c>
      <c r="C5" s="584">
        <v>150</v>
      </c>
      <c r="D5" s="584">
        <v>150</v>
      </c>
      <c r="E5" s="584">
        <v>3500</v>
      </c>
      <c r="F5" s="584">
        <v>3800</v>
      </c>
      <c r="G5" s="584">
        <v>3800</v>
      </c>
      <c r="H5" s="584">
        <v>3800</v>
      </c>
      <c r="I5" s="584">
        <v>3800</v>
      </c>
      <c r="J5" s="602">
        <v>3800</v>
      </c>
      <c r="K5" s="606">
        <f aca="true" t="shared" si="0" ref="K5:K18">B5+SUM(E5:J5)</f>
        <v>22650</v>
      </c>
      <c r="L5" s="584">
        <f aca="true" t="shared" si="1" ref="L5:M18">SUM(C5:I5)</f>
        <v>19000</v>
      </c>
      <c r="M5" s="589">
        <f t="shared" si="1"/>
        <v>22650</v>
      </c>
    </row>
    <row r="6" spans="1:13" ht="28.5">
      <c r="A6" s="588" t="s">
        <v>547</v>
      </c>
      <c r="B6" s="584">
        <f>SUM(B7:B10)</f>
        <v>138597</v>
      </c>
      <c r="C6" s="584">
        <f aca="true" t="shared" si="2" ref="C6">SUM(C7:C10)</f>
        <v>138682</v>
      </c>
      <c r="D6" s="584">
        <f aca="true" t="shared" si="3" ref="D6">SUM(D7:D10)</f>
        <v>134111</v>
      </c>
      <c r="E6" s="584">
        <f aca="true" t="shared" si="4" ref="E6:J6">SUM(E7:E10)</f>
        <v>91100</v>
      </c>
      <c r="F6" s="584">
        <f t="shared" si="4"/>
        <v>90100</v>
      </c>
      <c r="G6" s="584">
        <f t="shared" si="4"/>
        <v>89100</v>
      </c>
      <c r="H6" s="584">
        <f t="shared" si="4"/>
        <v>87800</v>
      </c>
      <c r="I6" s="584">
        <f t="shared" si="4"/>
        <v>87800</v>
      </c>
      <c r="J6" s="602">
        <f t="shared" si="4"/>
        <v>87800</v>
      </c>
      <c r="K6" s="606">
        <f t="shared" si="0"/>
        <v>672297</v>
      </c>
      <c r="L6" s="584">
        <f t="shared" si="1"/>
        <v>718693</v>
      </c>
      <c r="M6" s="589">
        <f t="shared" si="1"/>
        <v>667811</v>
      </c>
    </row>
    <row r="7" spans="1:13" ht="15">
      <c r="A7" s="590" t="s">
        <v>95</v>
      </c>
      <c r="B7" s="585">
        <v>2000</v>
      </c>
      <c r="C7" s="585">
        <v>2000</v>
      </c>
      <c r="D7" s="585">
        <v>2576</v>
      </c>
      <c r="E7" s="585">
        <v>1100</v>
      </c>
      <c r="F7" s="585">
        <v>1100</v>
      </c>
      <c r="G7" s="585">
        <v>1100</v>
      </c>
      <c r="H7" s="585">
        <v>800</v>
      </c>
      <c r="I7" s="585">
        <v>800</v>
      </c>
      <c r="J7" s="603">
        <v>800</v>
      </c>
      <c r="K7" s="741">
        <f t="shared" si="0"/>
        <v>7700</v>
      </c>
      <c r="L7" s="585">
        <f t="shared" si="1"/>
        <v>9476</v>
      </c>
      <c r="M7" s="591">
        <f t="shared" si="1"/>
        <v>8276</v>
      </c>
    </row>
    <row r="8" spans="1:13" ht="75">
      <c r="A8" s="590" t="s">
        <v>548</v>
      </c>
      <c r="B8" s="585">
        <v>34077</v>
      </c>
      <c r="C8" s="585">
        <v>34162</v>
      </c>
      <c r="D8" s="585">
        <v>33262</v>
      </c>
      <c r="E8" s="585">
        <v>10000</v>
      </c>
      <c r="F8" s="585">
        <v>10000</v>
      </c>
      <c r="G8" s="585">
        <v>10000</v>
      </c>
      <c r="H8" s="585">
        <v>10000</v>
      </c>
      <c r="I8" s="585">
        <v>10000</v>
      </c>
      <c r="J8" s="603">
        <v>10000</v>
      </c>
      <c r="K8" s="741">
        <f t="shared" si="0"/>
        <v>94077</v>
      </c>
      <c r="L8" s="585">
        <f t="shared" si="1"/>
        <v>117424</v>
      </c>
      <c r="M8" s="591">
        <f t="shared" si="1"/>
        <v>93262</v>
      </c>
    </row>
    <row r="9" spans="1:13" ht="60">
      <c r="A9" s="590" t="s">
        <v>549</v>
      </c>
      <c r="B9" s="585">
        <v>94520</v>
      </c>
      <c r="C9" s="585">
        <v>94520</v>
      </c>
      <c r="D9" s="585">
        <v>88949</v>
      </c>
      <c r="E9" s="585">
        <v>70000</v>
      </c>
      <c r="F9" s="585">
        <v>69000</v>
      </c>
      <c r="G9" s="585">
        <v>68000</v>
      </c>
      <c r="H9" s="585">
        <v>67000</v>
      </c>
      <c r="I9" s="585">
        <v>67000</v>
      </c>
      <c r="J9" s="603">
        <v>67000</v>
      </c>
      <c r="K9" s="741">
        <f t="shared" si="0"/>
        <v>502520</v>
      </c>
      <c r="L9" s="585">
        <f t="shared" si="1"/>
        <v>524469</v>
      </c>
      <c r="M9" s="591">
        <f t="shared" si="1"/>
        <v>496949</v>
      </c>
    </row>
    <row r="10" spans="1:13" ht="15">
      <c r="A10" s="590" t="s">
        <v>550</v>
      </c>
      <c r="B10" s="585">
        <v>8000</v>
      </c>
      <c r="C10" s="585">
        <v>8000</v>
      </c>
      <c r="D10" s="585">
        <v>9324</v>
      </c>
      <c r="E10" s="585">
        <v>10000</v>
      </c>
      <c r="F10" s="585">
        <v>10000</v>
      </c>
      <c r="G10" s="585">
        <v>10000</v>
      </c>
      <c r="H10" s="585">
        <v>10000</v>
      </c>
      <c r="I10" s="585">
        <v>10000</v>
      </c>
      <c r="J10" s="603">
        <v>10000</v>
      </c>
      <c r="K10" s="741">
        <f t="shared" si="0"/>
        <v>68000</v>
      </c>
      <c r="L10" s="585">
        <f t="shared" si="1"/>
        <v>67324</v>
      </c>
      <c r="M10" s="591">
        <f t="shared" si="1"/>
        <v>69324</v>
      </c>
    </row>
    <row r="11" spans="1:13" ht="99.75">
      <c r="A11" s="588" t="s">
        <v>551</v>
      </c>
      <c r="B11" s="584">
        <v>1535722</v>
      </c>
      <c r="C11" s="584">
        <v>1567704</v>
      </c>
      <c r="D11" s="584">
        <v>976124</v>
      </c>
      <c r="E11" s="584">
        <v>68000</v>
      </c>
      <c r="F11" s="584">
        <v>67000</v>
      </c>
      <c r="G11" s="584">
        <v>66000</v>
      </c>
      <c r="H11" s="584">
        <v>66000</v>
      </c>
      <c r="I11" s="584">
        <v>66000</v>
      </c>
      <c r="J11" s="602">
        <v>66000</v>
      </c>
      <c r="K11" s="606">
        <f t="shared" si="0"/>
        <v>1934722</v>
      </c>
      <c r="L11" s="584">
        <f t="shared" si="1"/>
        <v>2876828</v>
      </c>
      <c r="M11" s="589">
        <f t="shared" si="1"/>
        <v>1375124</v>
      </c>
    </row>
    <row r="12" spans="1:13" ht="28.5">
      <c r="A12" s="588" t="s">
        <v>552</v>
      </c>
      <c r="B12" s="584">
        <f>B4+B6+B5+B11</f>
        <v>3617469</v>
      </c>
      <c r="C12" s="584">
        <f aca="true" t="shared" si="5" ref="C12">C4+C6+C5+C11</f>
        <v>3649536</v>
      </c>
      <c r="D12" s="584">
        <f aca="true" t="shared" si="6" ref="D12:J12">D4+D6+D5+D11</f>
        <v>3204742</v>
      </c>
      <c r="E12" s="584">
        <f t="shared" si="6"/>
        <v>2179600</v>
      </c>
      <c r="F12" s="584">
        <f t="shared" si="6"/>
        <v>2177900</v>
      </c>
      <c r="G12" s="584">
        <f t="shared" si="6"/>
        <v>2183900</v>
      </c>
      <c r="H12" s="584">
        <f t="shared" si="6"/>
        <v>2182600</v>
      </c>
      <c r="I12" s="584">
        <f t="shared" si="6"/>
        <v>2182600</v>
      </c>
      <c r="J12" s="602">
        <f t="shared" si="6"/>
        <v>2182600</v>
      </c>
      <c r="K12" s="606">
        <f t="shared" si="0"/>
        <v>16706669</v>
      </c>
      <c r="L12" s="584">
        <f t="shared" si="1"/>
        <v>17760878</v>
      </c>
      <c r="M12" s="589">
        <f t="shared" si="1"/>
        <v>16293942</v>
      </c>
    </row>
    <row r="13" spans="1:13" ht="28.5">
      <c r="A13" s="588" t="s">
        <v>553</v>
      </c>
      <c r="B13" s="584">
        <f>B12/2</f>
        <v>1808734.5</v>
      </c>
      <c r="C13" s="584">
        <f aca="true" t="shared" si="7" ref="C13">C12/2</f>
        <v>1824768</v>
      </c>
      <c r="D13" s="584">
        <f aca="true" t="shared" si="8" ref="D13:J13">D12/2</f>
        <v>1602371</v>
      </c>
      <c r="E13" s="584">
        <f t="shared" si="8"/>
        <v>1089800</v>
      </c>
      <c r="F13" s="584">
        <f t="shared" si="8"/>
        <v>1088950</v>
      </c>
      <c r="G13" s="584">
        <f t="shared" si="8"/>
        <v>1091950</v>
      </c>
      <c r="H13" s="584">
        <f t="shared" si="8"/>
        <v>1091300</v>
      </c>
      <c r="I13" s="584">
        <f t="shared" si="8"/>
        <v>1091300</v>
      </c>
      <c r="J13" s="602">
        <f t="shared" si="8"/>
        <v>1091300</v>
      </c>
      <c r="K13" s="606">
        <f t="shared" si="0"/>
        <v>8353334.5</v>
      </c>
      <c r="L13" s="584">
        <f t="shared" si="1"/>
        <v>8880439</v>
      </c>
      <c r="M13" s="589">
        <f t="shared" si="1"/>
        <v>8146971</v>
      </c>
    </row>
    <row r="14" spans="1:13" ht="71.25">
      <c r="A14" s="588" t="s">
        <v>554</v>
      </c>
      <c r="B14" s="584">
        <f>B15</f>
        <v>158112</v>
      </c>
      <c r="C14" s="584">
        <f>C15</f>
        <v>158112</v>
      </c>
      <c r="D14" s="584">
        <f>D15</f>
        <v>114112</v>
      </c>
      <c r="E14" s="584">
        <f aca="true" t="shared" si="9" ref="E14:J14">E15</f>
        <v>110991</v>
      </c>
      <c r="F14" s="584">
        <f t="shared" si="9"/>
        <v>101206</v>
      </c>
      <c r="G14" s="584">
        <f t="shared" si="9"/>
        <v>74105</v>
      </c>
      <c r="H14" s="584">
        <f t="shared" si="9"/>
        <v>73416</v>
      </c>
      <c r="I14" s="584">
        <f t="shared" si="9"/>
        <v>72727</v>
      </c>
      <c r="J14" s="602">
        <f t="shared" si="9"/>
        <v>72469</v>
      </c>
      <c r="K14" s="606">
        <f t="shared" si="0"/>
        <v>663026</v>
      </c>
      <c r="L14" s="584">
        <f t="shared" si="1"/>
        <v>704669</v>
      </c>
      <c r="M14" s="589">
        <f t="shared" si="1"/>
        <v>619026</v>
      </c>
    </row>
    <row r="15" spans="1:13" ht="45">
      <c r="A15" s="590" t="s">
        <v>555</v>
      </c>
      <c r="B15" s="585">
        <v>158112</v>
      </c>
      <c r="C15" s="585">
        <v>158112</v>
      </c>
      <c r="D15" s="585">
        <v>114112</v>
      </c>
      <c r="E15" s="585">
        <v>110991</v>
      </c>
      <c r="F15" s="585">
        <v>101206</v>
      </c>
      <c r="G15" s="585">
        <v>74105</v>
      </c>
      <c r="H15" s="585">
        <v>73416</v>
      </c>
      <c r="I15" s="585">
        <v>72727</v>
      </c>
      <c r="J15" s="603">
        <v>72469</v>
      </c>
      <c r="K15" s="741">
        <f t="shared" si="0"/>
        <v>663026</v>
      </c>
      <c r="L15" s="585">
        <f t="shared" si="1"/>
        <v>704669</v>
      </c>
      <c r="M15" s="591">
        <f t="shared" si="1"/>
        <v>619026</v>
      </c>
    </row>
    <row r="16" spans="1:13" ht="71.25">
      <c r="A16" s="588" t="s">
        <v>556</v>
      </c>
      <c r="B16" s="584">
        <v>0</v>
      </c>
      <c r="C16" s="584">
        <v>0</v>
      </c>
      <c r="D16" s="584">
        <v>0</v>
      </c>
      <c r="E16" s="584">
        <v>0</v>
      </c>
      <c r="F16" s="584">
        <v>0</v>
      </c>
      <c r="G16" s="584">
        <v>0</v>
      </c>
      <c r="H16" s="584">
        <v>0</v>
      </c>
      <c r="I16" s="584">
        <v>0</v>
      </c>
      <c r="J16" s="602">
        <v>0</v>
      </c>
      <c r="K16" s="606">
        <f t="shared" si="0"/>
        <v>0</v>
      </c>
      <c r="L16" s="584">
        <f t="shared" si="1"/>
        <v>0</v>
      </c>
      <c r="M16" s="589">
        <f t="shared" si="1"/>
        <v>0</v>
      </c>
    </row>
    <row r="17" spans="1:13" ht="42.75">
      <c r="A17" s="588" t="s">
        <v>557</v>
      </c>
      <c r="B17" s="584">
        <f aca="true" t="shared" si="10" ref="B17:C17">B14+B16</f>
        <v>158112</v>
      </c>
      <c r="C17" s="584">
        <f t="shared" si="10"/>
        <v>158112</v>
      </c>
      <c r="D17" s="584">
        <f aca="true" t="shared" si="11" ref="D17:J17">D14+D16</f>
        <v>114112</v>
      </c>
      <c r="E17" s="584">
        <f t="shared" si="11"/>
        <v>110991</v>
      </c>
      <c r="F17" s="584">
        <f t="shared" si="11"/>
        <v>101206</v>
      </c>
      <c r="G17" s="584">
        <f t="shared" si="11"/>
        <v>74105</v>
      </c>
      <c r="H17" s="584">
        <f t="shared" si="11"/>
        <v>73416</v>
      </c>
      <c r="I17" s="584">
        <f t="shared" si="11"/>
        <v>72727</v>
      </c>
      <c r="J17" s="602">
        <f t="shared" si="11"/>
        <v>72469</v>
      </c>
      <c r="K17" s="606">
        <f t="shared" si="0"/>
        <v>663026</v>
      </c>
      <c r="L17" s="584">
        <f t="shared" si="1"/>
        <v>704669</v>
      </c>
      <c r="M17" s="589">
        <f t="shared" si="1"/>
        <v>619026</v>
      </c>
    </row>
    <row r="18" spans="1:13" ht="57.75" thickBot="1">
      <c r="A18" s="592" t="s">
        <v>558</v>
      </c>
      <c r="B18" s="586">
        <f aca="true" t="shared" si="12" ref="B18:C18">B13-B17</f>
        <v>1650622.5</v>
      </c>
      <c r="C18" s="586">
        <f t="shared" si="12"/>
        <v>1666656</v>
      </c>
      <c r="D18" s="586">
        <f aca="true" t="shared" si="13" ref="D18:J18">D13-D17</f>
        <v>1488259</v>
      </c>
      <c r="E18" s="586">
        <f t="shared" si="13"/>
        <v>978809</v>
      </c>
      <c r="F18" s="586">
        <f t="shared" si="13"/>
        <v>987744</v>
      </c>
      <c r="G18" s="586">
        <f t="shared" si="13"/>
        <v>1017845</v>
      </c>
      <c r="H18" s="586">
        <f t="shared" si="13"/>
        <v>1017884</v>
      </c>
      <c r="I18" s="586">
        <f t="shared" si="13"/>
        <v>1018573</v>
      </c>
      <c r="J18" s="604">
        <f t="shared" si="13"/>
        <v>1018831</v>
      </c>
      <c r="K18" s="607">
        <f t="shared" si="0"/>
        <v>7690308.5</v>
      </c>
      <c r="L18" s="586">
        <f t="shared" si="1"/>
        <v>8175770</v>
      </c>
      <c r="M18" s="593">
        <f t="shared" si="1"/>
        <v>7527945</v>
      </c>
    </row>
    <row r="21" spans="1:4" ht="15">
      <c r="A21" s="1423" t="s">
        <v>995</v>
      </c>
      <c r="B21" s="567"/>
      <c r="C21" s="567"/>
      <c r="D21" s="567"/>
    </row>
    <row r="22" spans="1:4" ht="15">
      <c r="A22" s="1423" t="s">
        <v>996</v>
      </c>
      <c r="B22" s="567"/>
      <c r="C22" s="567"/>
      <c r="D22" s="567"/>
    </row>
    <row r="23" spans="1:4" ht="15">
      <c r="A23" s="1423" t="s">
        <v>997</v>
      </c>
      <c r="B23" s="567"/>
      <c r="C23" s="567"/>
      <c r="D23" s="567"/>
    </row>
    <row r="24" spans="1:4" ht="15">
      <c r="A24" s="1423" t="s">
        <v>998</v>
      </c>
      <c r="B24" s="567"/>
      <c r="C24" s="567"/>
      <c r="D24" s="567"/>
    </row>
    <row r="25" spans="1:4" ht="15">
      <c r="A25" s="1423" t="s">
        <v>999</v>
      </c>
      <c r="B25" s="567"/>
      <c r="C25" s="567"/>
      <c r="D25" s="567"/>
    </row>
  </sheetData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>
    <oddHeader>&amp;L&amp;"Times New Roman,Normál"&amp;10 13. melléklet 1,2,3,4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Layout" workbookViewId="0" topLeftCell="A1">
      <selection activeCell="A12" sqref="A12"/>
    </sheetView>
  </sheetViews>
  <sheetFormatPr defaultColWidth="9.140625" defaultRowHeight="15"/>
  <cols>
    <col min="1" max="1" width="42.28125" style="610" customWidth="1"/>
    <col min="2" max="4" width="10.140625" style="611" customWidth="1"/>
    <col min="5" max="5" width="42.28125" style="610" customWidth="1"/>
    <col min="6" max="14" width="10.140625" style="611" customWidth="1"/>
    <col min="15" max="17" width="10.140625" style="612" customWidth="1"/>
    <col min="18" max="18" width="10.57421875" style="608" customWidth="1"/>
    <col min="19" max="16384" width="9.140625" style="610" customWidth="1"/>
  </cols>
  <sheetData>
    <row r="1" spans="1:18" ht="15">
      <c r="A1" s="1610" t="s">
        <v>792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609"/>
    </row>
    <row r="2" ht="15.75" thickBot="1"/>
    <row r="3" spans="1:18" ht="15">
      <c r="A3" s="1611" t="s">
        <v>110</v>
      </c>
      <c r="B3" s="1612"/>
      <c r="C3" s="1612"/>
      <c r="D3" s="1613"/>
      <c r="E3" s="1611" t="s">
        <v>559</v>
      </c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3"/>
      <c r="R3" s="613"/>
    </row>
    <row r="4" spans="1:18" s="615" customFormat="1" ht="30.75" customHeight="1">
      <c r="A4" s="1614" t="s">
        <v>775</v>
      </c>
      <c r="B4" s="1616" t="s">
        <v>4</v>
      </c>
      <c r="C4" s="1626" t="s">
        <v>893</v>
      </c>
      <c r="D4" s="1618" t="s">
        <v>937</v>
      </c>
      <c r="E4" s="1614" t="s">
        <v>775</v>
      </c>
      <c r="F4" s="1620" t="s">
        <v>13</v>
      </c>
      <c r="G4" s="1621"/>
      <c r="H4" s="1622"/>
      <c r="I4" s="1623" t="s">
        <v>64</v>
      </c>
      <c r="J4" s="1624"/>
      <c r="K4" s="1625"/>
      <c r="L4" s="1621" t="s">
        <v>65</v>
      </c>
      <c r="M4" s="1621"/>
      <c r="N4" s="1621"/>
      <c r="O4" s="1620" t="s">
        <v>78</v>
      </c>
      <c r="P4" s="1621"/>
      <c r="Q4" s="1622"/>
      <c r="R4" s="614"/>
    </row>
    <row r="5" spans="1:18" s="615" customFormat="1" ht="28.5">
      <c r="A5" s="1615"/>
      <c r="B5" s="1617"/>
      <c r="C5" s="1627"/>
      <c r="D5" s="1619"/>
      <c r="E5" s="1615"/>
      <c r="F5" s="681" t="s">
        <v>4</v>
      </c>
      <c r="G5" s="668" t="s">
        <v>893</v>
      </c>
      <c r="H5" s="669" t="s">
        <v>937</v>
      </c>
      <c r="I5" s="681" t="s">
        <v>4</v>
      </c>
      <c r="J5" s="668" t="s">
        <v>893</v>
      </c>
      <c r="K5" s="669" t="s">
        <v>937</v>
      </c>
      <c r="L5" s="679" t="s">
        <v>4</v>
      </c>
      <c r="M5" s="668" t="s">
        <v>893</v>
      </c>
      <c r="N5" s="669" t="s">
        <v>937</v>
      </c>
      <c r="O5" s="676" t="s">
        <v>4</v>
      </c>
      <c r="P5" s="668" t="s">
        <v>893</v>
      </c>
      <c r="Q5" s="669" t="s">
        <v>937</v>
      </c>
      <c r="R5" s="614"/>
    </row>
    <row r="6" spans="1:18" s="615" customFormat="1" ht="45">
      <c r="A6" s="647" t="s">
        <v>290</v>
      </c>
      <c r="B6" s="618">
        <v>2160</v>
      </c>
      <c r="C6" s="618">
        <v>2160</v>
      </c>
      <c r="D6" s="618">
        <v>2160</v>
      </c>
      <c r="E6" s="682" t="s">
        <v>562</v>
      </c>
      <c r="F6" s="658"/>
      <c r="G6" s="625"/>
      <c r="H6" s="659"/>
      <c r="I6" s="658">
        <v>2160</v>
      </c>
      <c r="J6" s="625">
        <v>2160</v>
      </c>
      <c r="K6" s="625">
        <v>2160</v>
      </c>
      <c r="L6" s="633"/>
      <c r="M6" s="632"/>
      <c r="N6" s="617"/>
      <c r="O6" s="677">
        <f>F6+I6+L6</f>
        <v>2160</v>
      </c>
      <c r="P6" s="670">
        <f aca="true" t="shared" si="0" ref="P6:Q18">G6+J6+M6</f>
        <v>2160</v>
      </c>
      <c r="Q6" s="671">
        <f t="shared" si="0"/>
        <v>2160</v>
      </c>
      <c r="R6" s="616"/>
    </row>
    <row r="7" spans="1:18" s="615" customFormat="1" ht="45">
      <c r="A7" s="643" t="s">
        <v>291</v>
      </c>
      <c r="B7" s="618">
        <v>206912</v>
      </c>
      <c r="C7" s="618">
        <v>206912</v>
      </c>
      <c r="D7" s="618">
        <v>206912</v>
      </c>
      <c r="E7" s="683" t="s">
        <v>291</v>
      </c>
      <c r="F7" s="650"/>
      <c r="G7" s="667"/>
      <c r="H7" s="651"/>
      <c r="I7" s="650">
        <v>206912</v>
      </c>
      <c r="J7" s="667">
        <v>206912</v>
      </c>
      <c r="K7" s="667">
        <v>206912</v>
      </c>
      <c r="L7" s="633"/>
      <c r="M7" s="632"/>
      <c r="N7" s="617"/>
      <c r="O7" s="677">
        <f aca="true" t="shared" si="1" ref="O7:O18">F7+I7+L7</f>
        <v>206912</v>
      </c>
      <c r="P7" s="670">
        <f t="shared" si="0"/>
        <v>206912</v>
      </c>
      <c r="Q7" s="671">
        <f t="shared" si="0"/>
        <v>206912</v>
      </c>
      <c r="R7" s="613"/>
    </row>
    <row r="8" spans="1:18" s="615" customFormat="1" ht="60">
      <c r="A8" s="645" t="s">
        <v>292</v>
      </c>
      <c r="B8" s="618">
        <v>169425</v>
      </c>
      <c r="C8" s="618">
        <v>169425</v>
      </c>
      <c r="D8" s="618">
        <v>169425</v>
      </c>
      <c r="E8" s="684" t="s">
        <v>563</v>
      </c>
      <c r="F8" s="652"/>
      <c r="G8" s="620"/>
      <c r="H8" s="653"/>
      <c r="I8" s="652">
        <v>169425</v>
      </c>
      <c r="J8" s="620">
        <v>169425</v>
      </c>
      <c r="K8" s="620">
        <v>169425</v>
      </c>
      <c r="L8" s="633"/>
      <c r="M8" s="632"/>
      <c r="N8" s="617"/>
      <c r="O8" s="677">
        <f t="shared" si="1"/>
        <v>169425</v>
      </c>
      <c r="P8" s="670">
        <f t="shared" si="0"/>
        <v>169425</v>
      </c>
      <c r="Q8" s="671">
        <f t="shared" si="0"/>
        <v>169425</v>
      </c>
      <c r="R8" s="616"/>
    </row>
    <row r="9" spans="1:18" s="615" customFormat="1" ht="75">
      <c r="A9" s="646" t="s">
        <v>296</v>
      </c>
      <c r="B9" s="618">
        <v>320479</v>
      </c>
      <c r="C9" s="618">
        <v>315856</v>
      </c>
      <c r="D9" s="618">
        <v>315856</v>
      </c>
      <c r="E9" s="685" t="s">
        <v>564</v>
      </c>
      <c r="F9" s="654"/>
      <c r="G9" s="621"/>
      <c r="H9" s="655"/>
      <c r="I9" s="654">
        <v>320479</v>
      </c>
      <c r="J9" s="621">
        <v>315856</v>
      </c>
      <c r="K9" s="621">
        <v>315856</v>
      </c>
      <c r="L9" s="633"/>
      <c r="M9" s="632"/>
      <c r="N9" s="617"/>
      <c r="O9" s="677">
        <f t="shared" si="1"/>
        <v>320479</v>
      </c>
      <c r="P9" s="670">
        <f t="shared" si="0"/>
        <v>315856</v>
      </c>
      <c r="Q9" s="671">
        <f t="shared" si="0"/>
        <v>315856</v>
      </c>
      <c r="R9" s="616"/>
    </row>
    <row r="10" spans="1:18" s="615" customFormat="1" ht="30">
      <c r="A10" s="646" t="s">
        <v>297</v>
      </c>
      <c r="B10" s="618">
        <v>140239</v>
      </c>
      <c r="C10" s="618">
        <v>136683</v>
      </c>
      <c r="D10" s="618">
        <v>136683</v>
      </c>
      <c r="E10" s="685" t="s">
        <v>297</v>
      </c>
      <c r="F10" s="656"/>
      <c r="G10" s="624"/>
      <c r="H10" s="657"/>
      <c r="I10" s="656">
        <v>6040</v>
      </c>
      <c r="J10" s="624">
        <v>2484</v>
      </c>
      <c r="K10" s="624">
        <v>2484</v>
      </c>
      <c r="L10" s="633">
        <v>134199</v>
      </c>
      <c r="M10" s="632">
        <v>134199</v>
      </c>
      <c r="N10" s="632">
        <v>134199</v>
      </c>
      <c r="O10" s="677">
        <f t="shared" si="1"/>
        <v>140239</v>
      </c>
      <c r="P10" s="670">
        <f t="shared" si="0"/>
        <v>136683</v>
      </c>
      <c r="Q10" s="671">
        <f t="shared" si="0"/>
        <v>136683</v>
      </c>
      <c r="R10" s="616"/>
    </row>
    <row r="11" spans="1:18" s="615" customFormat="1" ht="30">
      <c r="A11" s="647" t="s">
        <v>565</v>
      </c>
      <c r="B11" s="618">
        <v>401522</v>
      </c>
      <c r="C11" s="618">
        <v>399274</v>
      </c>
      <c r="D11" s="618">
        <v>399274</v>
      </c>
      <c r="E11" s="682" t="s">
        <v>566</v>
      </c>
      <c r="F11" s="658"/>
      <c r="G11" s="625"/>
      <c r="H11" s="659"/>
      <c r="I11" s="658">
        <v>401522</v>
      </c>
      <c r="J11" s="625">
        <v>399274</v>
      </c>
      <c r="K11" s="625">
        <v>399274</v>
      </c>
      <c r="L11" s="633"/>
      <c r="M11" s="632"/>
      <c r="N11" s="617"/>
      <c r="O11" s="677">
        <f t="shared" si="1"/>
        <v>401522</v>
      </c>
      <c r="P11" s="670">
        <f t="shared" si="0"/>
        <v>399274</v>
      </c>
      <c r="Q11" s="671">
        <f t="shared" si="0"/>
        <v>399274</v>
      </c>
      <c r="R11" s="616"/>
    </row>
    <row r="12" spans="1:18" s="615" customFormat="1" ht="45">
      <c r="A12" s="648" t="s">
        <v>476</v>
      </c>
      <c r="B12" s="618">
        <v>46700</v>
      </c>
      <c r="C12" s="618">
        <v>0</v>
      </c>
      <c r="D12" s="644"/>
      <c r="E12" s="686" t="s">
        <v>476</v>
      </c>
      <c r="F12" s="656">
        <v>46700</v>
      </c>
      <c r="G12" s="624">
        <v>0</v>
      </c>
      <c r="H12" s="657">
        <v>0</v>
      </c>
      <c r="I12" s="656"/>
      <c r="J12" s="624"/>
      <c r="K12" s="657"/>
      <c r="L12" s="633"/>
      <c r="M12" s="632"/>
      <c r="N12" s="617"/>
      <c r="O12" s="677">
        <f t="shared" si="1"/>
        <v>46700</v>
      </c>
      <c r="P12" s="670">
        <f t="shared" si="0"/>
        <v>0</v>
      </c>
      <c r="Q12" s="671">
        <f t="shared" si="0"/>
        <v>0</v>
      </c>
      <c r="R12" s="616"/>
    </row>
    <row r="13" spans="1:18" s="615" customFormat="1" ht="30">
      <c r="A13" s="647" t="s">
        <v>482</v>
      </c>
      <c r="B13" s="618">
        <v>60000</v>
      </c>
      <c r="C13" s="618">
        <v>0</v>
      </c>
      <c r="D13" s="618">
        <v>0</v>
      </c>
      <c r="E13" s="682" t="s">
        <v>482</v>
      </c>
      <c r="F13" s="656"/>
      <c r="G13" s="624"/>
      <c r="H13" s="657"/>
      <c r="I13" s="656"/>
      <c r="J13" s="624"/>
      <c r="K13" s="657"/>
      <c r="L13" s="633">
        <v>60000</v>
      </c>
      <c r="M13" s="632">
        <v>0</v>
      </c>
      <c r="N13" s="617">
        <v>0</v>
      </c>
      <c r="O13" s="677">
        <f t="shared" si="1"/>
        <v>60000</v>
      </c>
      <c r="P13" s="670">
        <f t="shared" si="0"/>
        <v>0</v>
      </c>
      <c r="Q13" s="671">
        <f t="shared" si="0"/>
        <v>0</v>
      </c>
      <c r="R13" s="616"/>
    </row>
    <row r="14" spans="1:18" s="615" customFormat="1" ht="45">
      <c r="A14" s="648" t="s">
        <v>567</v>
      </c>
      <c r="B14" s="618">
        <v>40000</v>
      </c>
      <c r="C14" s="618">
        <v>0</v>
      </c>
      <c r="D14" s="618">
        <v>0</v>
      </c>
      <c r="E14" s="686" t="s">
        <v>567</v>
      </c>
      <c r="F14" s="656"/>
      <c r="G14" s="624"/>
      <c r="H14" s="657"/>
      <c r="I14" s="656"/>
      <c r="J14" s="624"/>
      <c r="K14" s="657"/>
      <c r="L14" s="633">
        <v>40000</v>
      </c>
      <c r="M14" s="632">
        <v>0</v>
      </c>
      <c r="N14" s="617">
        <v>0</v>
      </c>
      <c r="O14" s="677">
        <f t="shared" si="1"/>
        <v>40000</v>
      </c>
      <c r="P14" s="670">
        <f t="shared" si="0"/>
        <v>0</v>
      </c>
      <c r="Q14" s="671">
        <f t="shared" si="0"/>
        <v>0</v>
      </c>
      <c r="R14" s="616"/>
    </row>
    <row r="15" spans="1:18" s="615" customFormat="1" ht="30">
      <c r="A15" s="647" t="s">
        <v>484</v>
      </c>
      <c r="B15" s="618">
        <v>31000</v>
      </c>
      <c r="C15" s="618">
        <v>0</v>
      </c>
      <c r="D15" s="618">
        <v>0</v>
      </c>
      <c r="E15" s="682" t="s">
        <v>484</v>
      </c>
      <c r="F15" s="656"/>
      <c r="G15" s="624"/>
      <c r="H15" s="657"/>
      <c r="I15" s="656">
        <v>31000</v>
      </c>
      <c r="J15" s="624">
        <v>0</v>
      </c>
      <c r="K15" s="657">
        <v>0</v>
      </c>
      <c r="L15" s="633"/>
      <c r="M15" s="632"/>
      <c r="N15" s="617"/>
      <c r="O15" s="677">
        <f t="shared" si="1"/>
        <v>31000</v>
      </c>
      <c r="P15" s="670">
        <f t="shared" si="0"/>
        <v>0</v>
      </c>
      <c r="Q15" s="671">
        <f t="shared" si="0"/>
        <v>0</v>
      </c>
      <c r="R15" s="616"/>
    </row>
    <row r="16" spans="1:18" s="615" customFormat="1" ht="30">
      <c r="A16" s="648" t="s">
        <v>485</v>
      </c>
      <c r="B16" s="618">
        <v>150000</v>
      </c>
      <c r="C16" s="618">
        <v>0</v>
      </c>
      <c r="D16" s="618">
        <v>0</v>
      </c>
      <c r="E16" s="686" t="s">
        <v>568</v>
      </c>
      <c r="F16" s="660"/>
      <c r="G16" s="618"/>
      <c r="H16" s="644"/>
      <c r="I16" s="660"/>
      <c r="J16" s="618"/>
      <c r="K16" s="644"/>
      <c r="L16" s="628">
        <v>150000</v>
      </c>
      <c r="M16" s="618">
        <v>0</v>
      </c>
      <c r="N16" s="619">
        <v>0</v>
      </c>
      <c r="O16" s="677">
        <f t="shared" si="1"/>
        <v>150000</v>
      </c>
      <c r="P16" s="670">
        <f t="shared" si="0"/>
        <v>0</v>
      </c>
      <c r="Q16" s="671">
        <f t="shared" si="0"/>
        <v>0</v>
      </c>
      <c r="R16" s="616"/>
    </row>
    <row r="17" spans="1:18" s="615" customFormat="1" ht="15.75" thickBot="1">
      <c r="A17" s="648" t="s">
        <v>310</v>
      </c>
      <c r="B17" s="618">
        <v>4952</v>
      </c>
      <c r="C17" s="618">
        <v>4952</v>
      </c>
      <c r="D17" s="618">
        <v>4952</v>
      </c>
      <c r="E17" s="686" t="s">
        <v>310</v>
      </c>
      <c r="F17" s="660"/>
      <c r="G17" s="618"/>
      <c r="H17" s="644"/>
      <c r="I17" s="660">
        <v>4952</v>
      </c>
      <c r="J17" s="618">
        <v>4952</v>
      </c>
      <c r="K17" s="618">
        <v>4952</v>
      </c>
      <c r="L17" s="628"/>
      <c r="M17" s="618"/>
      <c r="N17" s="619"/>
      <c r="O17" s="677">
        <f t="shared" si="1"/>
        <v>4952</v>
      </c>
      <c r="P17" s="670">
        <f t="shared" si="0"/>
        <v>4952</v>
      </c>
      <c r="Q17" s="671">
        <f t="shared" si="0"/>
        <v>4952</v>
      </c>
      <c r="R17" s="616"/>
    </row>
    <row r="18" spans="1:18" ht="15.75" thickBot="1">
      <c r="A18" s="672" t="s">
        <v>78</v>
      </c>
      <c r="B18" s="673">
        <f>SUM(B6:B17)</f>
        <v>1573389</v>
      </c>
      <c r="C18" s="673">
        <f aca="true" t="shared" si="2" ref="C18:D18">SUM(C6:C17)</f>
        <v>1235262</v>
      </c>
      <c r="D18" s="674">
        <f t="shared" si="2"/>
        <v>1235262</v>
      </c>
      <c r="E18" s="688" t="s">
        <v>78</v>
      </c>
      <c r="F18" s="678">
        <f aca="true" t="shared" si="3" ref="F18:N18">SUM(F6:F17)</f>
        <v>46700</v>
      </c>
      <c r="G18" s="673">
        <f aca="true" t="shared" si="4" ref="G18">SUM(G6:G17)</f>
        <v>0</v>
      </c>
      <c r="H18" s="674">
        <f t="shared" si="3"/>
        <v>0</v>
      </c>
      <c r="I18" s="678">
        <f t="shared" si="3"/>
        <v>1142490</v>
      </c>
      <c r="J18" s="673">
        <f aca="true" t="shared" si="5" ref="J18">SUM(J6:J17)</f>
        <v>1101063</v>
      </c>
      <c r="K18" s="674">
        <f t="shared" si="3"/>
        <v>1101063</v>
      </c>
      <c r="L18" s="680">
        <f t="shared" si="3"/>
        <v>384199</v>
      </c>
      <c r="M18" s="673">
        <f aca="true" t="shared" si="6" ref="M18">SUM(M6:M17)</f>
        <v>134199</v>
      </c>
      <c r="N18" s="675">
        <f t="shared" si="3"/>
        <v>134199</v>
      </c>
      <c r="O18" s="678">
        <f t="shared" si="1"/>
        <v>1573389</v>
      </c>
      <c r="P18" s="673">
        <f t="shared" si="0"/>
        <v>1235262</v>
      </c>
      <c r="Q18" s="674">
        <f t="shared" si="0"/>
        <v>1235262</v>
      </c>
      <c r="R18" s="613"/>
    </row>
    <row r="19" spans="1:18" ht="15">
      <c r="A19" s="637"/>
      <c r="B19" s="638"/>
      <c r="C19" s="638"/>
      <c r="D19" s="638"/>
      <c r="E19" s="637"/>
      <c r="F19" s="639"/>
      <c r="G19" s="639"/>
      <c r="H19" s="639"/>
      <c r="I19" s="639"/>
      <c r="J19" s="639"/>
      <c r="K19" s="639"/>
      <c r="L19" s="638"/>
      <c r="M19" s="638"/>
      <c r="N19" s="638"/>
      <c r="O19" s="638"/>
      <c r="P19" s="638"/>
      <c r="Q19" s="638"/>
      <c r="R19" s="613"/>
    </row>
    <row r="20" spans="1:18" ht="15">
      <c r="A20" s="640"/>
      <c r="B20" s="641"/>
      <c r="C20" s="641"/>
      <c r="D20" s="641"/>
      <c r="E20" s="640"/>
      <c r="F20" s="641"/>
      <c r="G20" s="641"/>
      <c r="H20" s="641"/>
      <c r="I20" s="641"/>
      <c r="J20" s="641"/>
      <c r="K20" s="641"/>
      <c r="L20" s="641"/>
      <c r="M20" s="641"/>
      <c r="N20" s="641"/>
      <c r="O20" s="642"/>
      <c r="P20" s="642"/>
      <c r="Q20" s="642"/>
      <c r="R20" s="609"/>
    </row>
    <row r="21" spans="1:18" ht="15">
      <c r="A21" s="1423" t="s">
        <v>995</v>
      </c>
      <c r="B21" s="567"/>
      <c r="C21" s="567"/>
      <c r="D21" s="641"/>
      <c r="E21" s="640"/>
      <c r="F21" s="641"/>
      <c r="G21" s="641"/>
      <c r="H21" s="641"/>
      <c r="I21" s="641"/>
      <c r="J21" s="641"/>
      <c r="K21" s="641"/>
      <c r="L21" s="641"/>
      <c r="M21" s="641"/>
      <c r="N21" s="641"/>
      <c r="O21" s="642"/>
      <c r="P21" s="642"/>
      <c r="Q21" s="642"/>
      <c r="R21" s="609"/>
    </row>
    <row r="22" spans="1:18" ht="15">
      <c r="A22" s="1423" t="s">
        <v>996</v>
      </c>
      <c r="B22" s="567"/>
      <c r="C22" s="567"/>
      <c r="D22" s="641"/>
      <c r="E22" s="640"/>
      <c r="F22" s="641"/>
      <c r="G22" s="641"/>
      <c r="H22" s="641"/>
      <c r="I22" s="641"/>
      <c r="J22" s="641"/>
      <c r="K22" s="641"/>
      <c r="L22" s="641"/>
      <c r="M22" s="641"/>
      <c r="N22" s="641"/>
      <c r="O22" s="642"/>
      <c r="P22" s="642"/>
      <c r="Q22" s="642"/>
      <c r="R22" s="609"/>
    </row>
    <row r="23" spans="1:3" ht="15">
      <c r="A23" s="1423" t="s">
        <v>997</v>
      </c>
      <c r="B23" s="567"/>
      <c r="C23" s="567"/>
    </row>
    <row r="24" spans="1:3" ht="15">
      <c r="A24" s="1423" t="s">
        <v>998</v>
      </c>
      <c r="B24" s="567"/>
      <c r="C24" s="567"/>
    </row>
    <row r="25" spans="1:3" ht="15">
      <c r="A25" s="1423" t="s">
        <v>999</v>
      </c>
      <c r="B25" s="567"/>
      <c r="C25" s="567"/>
    </row>
  </sheetData>
  <mergeCells count="12">
    <mergeCell ref="A1:Q1"/>
    <mergeCell ref="E3:Q3"/>
    <mergeCell ref="A4:A5"/>
    <mergeCell ref="B4:B5"/>
    <mergeCell ref="D4:D5"/>
    <mergeCell ref="E4:E5"/>
    <mergeCell ref="F4:H4"/>
    <mergeCell ref="A3:D3"/>
    <mergeCell ref="I4:K4"/>
    <mergeCell ref="L4:N4"/>
    <mergeCell ref="O4:Q4"/>
    <mergeCell ref="C4:C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  <headerFooter>
    <oddHeader>&amp;L&amp;"Times New Roman,Normál"&amp;8 14. melléklet 1,2,3,4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view="pageLayout" workbookViewId="0" topLeftCell="A19">
      <selection activeCell="A21" sqref="A21:A25"/>
    </sheetView>
  </sheetViews>
  <sheetFormatPr defaultColWidth="9.140625" defaultRowHeight="15"/>
  <cols>
    <col min="1" max="1" width="42.28125" style="610" customWidth="1"/>
    <col min="2" max="4" width="8.7109375" style="611" customWidth="1"/>
    <col min="5" max="5" width="42.28125" style="610" customWidth="1"/>
    <col min="6" max="20" width="8.7109375" style="611" customWidth="1"/>
    <col min="21" max="23" width="8.7109375" style="612" customWidth="1"/>
    <col min="24" max="24" width="10.57421875" style="608" customWidth="1"/>
    <col min="25" max="16384" width="9.140625" style="610" customWidth="1"/>
  </cols>
  <sheetData>
    <row r="1" spans="1:24" ht="15">
      <c r="A1" s="1610" t="s">
        <v>792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1610"/>
      <c r="S1" s="1610"/>
      <c r="T1" s="1610"/>
      <c r="U1" s="1610"/>
      <c r="V1" s="1610"/>
      <c r="W1" s="1610"/>
      <c r="X1" s="609"/>
    </row>
    <row r="2" ht="15.75" thickBot="1"/>
    <row r="3" spans="1:24" ht="15.75" thickBot="1">
      <c r="A3" s="1611" t="s">
        <v>110</v>
      </c>
      <c r="B3" s="1612"/>
      <c r="C3" s="1612"/>
      <c r="D3" s="1613"/>
      <c r="E3" s="1611" t="s">
        <v>559</v>
      </c>
      <c r="F3" s="1612"/>
      <c r="G3" s="1612"/>
      <c r="H3" s="1612"/>
      <c r="I3" s="1612"/>
      <c r="J3" s="1612"/>
      <c r="K3" s="1612"/>
      <c r="L3" s="1612"/>
      <c r="M3" s="1612"/>
      <c r="N3" s="1612"/>
      <c r="O3" s="1631"/>
      <c r="P3" s="1631"/>
      <c r="Q3" s="1631"/>
      <c r="R3" s="1632"/>
      <c r="S3" s="1632"/>
      <c r="T3" s="1632"/>
      <c r="U3" s="1612"/>
      <c r="V3" s="1612"/>
      <c r="W3" s="1613"/>
      <c r="X3" s="613"/>
    </row>
    <row r="4" spans="1:24" s="615" customFormat="1" ht="30.75" customHeight="1">
      <c r="A4" s="1614" t="s">
        <v>793</v>
      </c>
      <c r="B4" s="1616" t="s">
        <v>4</v>
      </c>
      <c r="C4" s="1626" t="s">
        <v>893</v>
      </c>
      <c r="D4" s="1618" t="s">
        <v>937</v>
      </c>
      <c r="E4" s="1633" t="s">
        <v>793</v>
      </c>
      <c r="F4" s="1620" t="s">
        <v>7</v>
      </c>
      <c r="G4" s="1621"/>
      <c r="H4" s="1622"/>
      <c r="I4" s="1624" t="s">
        <v>560</v>
      </c>
      <c r="J4" s="1624"/>
      <c r="K4" s="1624"/>
      <c r="L4" s="1620" t="s">
        <v>13</v>
      </c>
      <c r="M4" s="1621"/>
      <c r="N4" s="1622"/>
      <c r="O4" s="1621" t="s">
        <v>561</v>
      </c>
      <c r="P4" s="1621"/>
      <c r="Q4" s="1621"/>
      <c r="R4" s="1628" t="s">
        <v>873</v>
      </c>
      <c r="S4" s="1629"/>
      <c r="T4" s="1630"/>
      <c r="U4" s="1620" t="s">
        <v>78</v>
      </c>
      <c r="V4" s="1621"/>
      <c r="W4" s="1622"/>
      <c r="X4" s="614"/>
    </row>
    <row r="5" spans="1:24" s="615" customFormat="1" ht="28.5">
      <c r="A5" s="1615"/>
      <c r="B5" s="1617"/>
      <c r="C5" s="1627"/>
      <c r="D5" s="1619"/>
      <c r="E5" s="1634"/>
      <c r="F5" s="681" t="s">
        <v>4</v>
      </c>
      <c r="G5" s="668" t="s">
        <v>893</v>
      </c>
      <c r="H5" s="669" t="s">
        <v>937</v>
      </c>
      <c r="I5" s="679" t="s">
        <v>4</v>
      </c>
      <c r="J5" s="668" t="s">
        <v>893</v>
      </c>
      <c r="K5" s="669" t="s">
        <v>937</v>
      </c>
      <c r="L5" s="681" t="s">
        <v>4</v>
      </c>
      <c r="M5" s="668" t="s">
        <v>893</v>
      </c>
      <c r="N5" s="669" t="s">
        <v>937</v>
      </c>
      <c r="O5" s="679" t="s">
        <v>4</v>
      </c>
      <c r="P5" s="668" t="s">
        <v>893</v>
      </c>
      <c r="Q5" s="669" t="s">
        <v>937</v>
      </c>
      <c r="R5" s="1037" t="s">
        <v>4</v>
      </c>
      <c r="S5" s="1038" t="s">
        <v>893</v>
      </c>
      <c r="T5" s="669" t="s">
        <v>937</v>
      </c>
      <c r="U5" s="676" t="s">
        <v>4</v>
      </c>
      <c r="V5" s="668" t="s">
        <v>893</v>
      </c>
      <c r="W5" s="669" t="s">
        <v>937</v>
      </c>
      <c r="X5" s="614"/>
    </row>
    <row r="6" spans="1:24" s="615" customFormat="1" ht="45">
      <c r="A6" s="647" t="s">
        <v>290</v>
      </c>
      <c r="B6" s="618">
        <v>6840</v>
      </c>
      <c r="C6" s="618">
        <v>6840</v>
      </c>
      <c r="D6" s="644">
        <v>6840</v>
      </c>
      <c r="E6" s="682" t="s">
        <v>562</v>
      </c>
      <c r="F6" s="658">
        <v>1446</v>
      </c>
      <c r="G6" s="625">
        <v>1446</v>
      </c>
      <c r="H6" s="659">
        <v>1446</v>
      </c>
      <c r="I6" s="627">
        <v>619</v>
      </c>
      <c r="J6" s="625">
        <v>619</v>
      </c>
      <c r="K6" s="626">
        <v>619</v>
      </c>
      <c r="L6" s="658">
        <v>4775</v>
      </c>
      <c r="M6" s="625">
        <v>4775</v>
      </c>
      <c r="N6" s="659">
        <v>4775</v>
      </c>
      <c r="O6" s="627"/>
      <c r="P6" s="625"/>
      <c r="Q6" s="626"/>
      <c r="R6" s="658"/>
      <c r="S6" s="1039"/>
      <c r="T6" s="1040"/>
      <c r="U6" s="677">
        <f>F6+I6+L6+R6+O6</f>
        <v>6840</v>
      </c>
      <c r="V6" s="670">
        <f aca="true" t="shared" si="0" ref="V6:W13">G6+J6+M6+S6+P6</f>
        <v>6840</v>
      </c>
      <c r="W6" s="671">
        <f t="shared" si="0"/>
        <v>6840</v>
      </c>
      <c r="X6" s="616"/>
    </row>
    <row r="7" spans="1:24" s="615" customFormat="1" ht="45">
      <c r="A7" s="643" t="s">
        <v>291</v>
      </c>
      <c r="B7" s="618">
        <v>10144</v>
      </c>
      <c r="C7" s="618">
        <v>10144</v>
      </c>
      <c r="D7" s="644">
        <v>10144</v>
      </c>
      <c r="E7" s="683" t="s">
        <v>291</v>
      </c>
      <c r="F7" s="658">
        <v>3959</v>
      </c>
      <c r="G7" s="625">
        <v>3959</v>
      </c>
      <c r="H7" s="659">
        <v>3959</v>
      </c>
      <c r="I7" s="627">
        <v>1042</v>
      </c>
      <c r="J7" s="625">
        <v>1042</v>
      </c>
      <c r="K7" s="626">
        <v>1042</v>
      </c>
      <c r="L7" s="658">
        <v>5143</v>
      </c>
      <c r="M7" s="625">
        <v>5143</v>
      </c>
      <c r="N7" s="659">
        <v>5143</v>
      </c>
      <c r="O7" s="627"/>
      <c r="P7" s="625"/>
      <c r="Q7" s="626"/>
      <c r="R7" s="658"/>
      <c r="S7" s="1039"/>
      <c r="T7" s="1040"/>
      <c r="U7" s="677">
        <f aca="true" t="shared" si="1" ref="U7:U13">F7+I7+L7+R7+O7</f>
        <v>10144</v>
      </c>
      <c r="V7" s="670">
        <f t="shared" si="0"/>
        <v>10144</v>
      </c>
      <c r="W7" s="671">
        <f t="shared" si="0"/>
        <v>10144</v>
      </c>
      <c r="X7" s="616"/>
    </row>
    <row r="8" spans="1:24" s="615" customFormat="1" ht="60">
      <c r="A8" s="645" t="s">
        <v>292</v>
      </c>
      <c r="B8" s="618">
        <v>8668</v>
      </c>
      <c r="C8" s="618">
        <v>7754</v>
      </c>
      <c r="D8" s="644">
        <v>7754</v>
      </c>
      <c r="E8" s="684" t="s">
        <v>292</v>
      </c>
      <c r="F8" s="663">
        <v>2771</v>
      </c>
      <c r="G8" s="632">
        <v>2771</v>
      </c>
      <c r="H8" s="664">
        <v>2771</v>
      </c>
      <c r="I8" s="633">
        <v>729</v>
      </c>
      <c r="J8" s="632">
        <v>729</v>
      </c>
      <c r="K8" s="617">
        <v>729</v>
      </c>
      <c r="L8" s="663">
        <v>5168</v>
      </c>
      <c r="M8" s="632">
        <v>4254</v>
      </c>
      <c r="N8" s="664">
        <v>4254</v>
      </c>
      <c r="O8" s="627"/>
      <c r="P8" s="625"/>
      <c r="Q8" s="626"/>
      <c r="R8" s="658"/>
      <c r="S8" s="1039"/>
      <c r="T8" s="1040"/>
      <c r="U8" s="677">
        <f t="shared" si="1"/>
        <v>8668</v>
      </c>
      <c r="V8" s="670">
        <f t="shared" si="0"/>
        <v>7754</v>
      </c>
      <c r="W8" s="671">
        <f t="shared" si="0"/>
        <v>7754</v>
      </c>
      <c r="X8" s="616"/>
    </row>
    <row r="9" spans="1:24" s="615" customFormat="1" ht="75">
      <c r="A9" s="646" t="s">
        <v>296</v>
      </c>
      <c r="B9" s="618">
        <v>17303</v>
      </c>
      <c r="C9" s="618">
        <v>17303</v>
      </c>
      <c r="D9" s="644">
        <v>17303</v>
      </c>
      <c r="E9" s="685" t="s">
        <v>296</v>
      </c>
      <c r="F9" s="663">
        <v>7039</v>
      </c>
      <c r="G9" s="632">
        <v>7039</v>
      </c>
      <c r="H9" s="664">
        <v>7039</v>
      </c>
      <c r="I9" s="633">
        <v>1711</v>
      </c>
      <c r="J9" s="632">
        <v>1711</v>
      </c>
      <c r="K9" s="617">
        <v>1711</v>
      </c>
      <c r="L9" s="663">
        <v>8553</v>
      </c>
      <c r="M9" s="632">
        <v>8553</v>
      </c>
      <c r="N9" s="664">
        <v>8553</v>
      </c>
      <c r="O9" s="623"/>
      <c r="P9" s="621"/>
      <c r="Q9" s="622"/>
      <c r="R9" s="654"/>
      <c r="S9" s="1041"/>
      <c r="T9" s="1042"/>
      <c r="U9" s="677">
        <f t="shared" si="1"/>
        <v>17303</v>
      </c>
      <c r="V9" s="670">
        <f t="shared" si="0"/>
        <v>17303</v>
      </c>
      <c r="W9" s="671">
        <f t="shared" si="0"/>
        <v>17303</v>
      </c>
      <c r="X9" s="616"/>
    </row>
    <row r="10" spans="1:24" s="615" customFormat="1" ht="30">
      <c r="A10" s="646" t="s">
        <v>297</v>
      </c>
      <c r="B10" s="618">
        <v>7729</v>
      </c>
      <c r="C10" s="618">
        <v>7729</v>
      </c>
      <c r="D10" s="644">
        <v>7729</v>
      </c>
      <c r="E10" s="685" t="s">
        <v>297</v>
      </c>
      <c r="F10" s="654">
        <v>2737</v>
      </c>
      <c r="G10" s="621">
        <v>2737</v>
      </c>
      <c r="H10" s="655">
        <v>2737</v>
      </c>
      <c r="I10" s="623">
        <v>1013</v>
      </c>
      <c r="J10" s="621">
        <v>1013</v>
      </c>
      <c r="K10" s="622">
        <v>1013</v>
      </c>
      <c r="L10" s="654">
        <v>3979</v>
      </c>
      <c r="M10" s="621">
        <v>3979</v>
      </c>
      <c r="N10" s="655">
        <v>3979</v>
      </c>
      <c r="O10" s="623"/>
      <c r="P10" s="621"/>
      <c r="Q10" s="622"/>
      <c r="R10" s="654"/>
      <c r="S10" s="1041"/>
      <c r="T10" s="1042"/>
      <c r="U10" s="677">
        <f t="shared" si="1"/>
        <v>7729</v>
      </c>
      <c r="V10" s="670">
        <f t="shared" si="0"/>
        <v>7729</v>
      </c>
      <c r="W10" s="671">
        <f t="shared" si="0"/>
        <v>7729</v>
      </c>
      <c r="X10" s="616"/>
    </row>
    <row r="11" spans="1:24" s="615" customFormat="1" ht="30">
      <c r="A11" s="647" t="s">
        <v>565</v>
      </c>
      <c r="B11" s="618">
        <v>28797</v>
      </c>
      <c r="C11" s="618">
        <v>27553</v>
      </c>
      <c r="D11" s="644">
        <v>27553</v>
      </c>
      <c r="E11" s="682" t="s">
        <v>565</v>
      </c>
      <c r="F11" s="663">
        <v>8837</v>
      </c>
      <c r="G11" s="632">
        <v>8837</v>
      </c>
      <c r="H11" s="664">
        <v>8837</v>
      </c>
      <c r="I11" s="633">
        <v>2386</v>
      </c>
      <c r="J11" s="632">
        <v>2386</v>
      </c>
      <c r="K11" s="617">
        <v>2386</v>
      </c>
      <c r="L11" s="663">
        <v>17574</v>
      </c>
      <c r="M11" s="632">
        <v>16330</v>
      </c>
      <c r="N11" s="664">
        <v>16330</v>
      </c>
      <c r="O11" s="631"/>
      <c r="P11" s="629"/>
      <c r="Q11" s="630"/>
      <c r="R11" s="661"/>
      <c r="S11" s="1031"/>
      <c r="T11" s="1032"/>
      <c r="U11" s="677">
        <f t="shared" si="1"/>
        <v>28797</v>
      </c>
      <c r="V11" s="670">
        <f t="shared" si="0"/>
        <v>27553</v>
      </c>
      <c r="W11" s="671">
        <f t="shared" si="0"/>
        <v>27553</v>
      </c>
      <c r="X11" s="616"/>
    </row>
    <row r="12" spans="1:24" s="615" customFormat="1" ht="30">
      <c r="A12" s="649" t="s">
        <v>569</v>
      </c>
      <c r="B12" s="618">
        <v>930</v>
      </c>
      <c r="C12" s="618">
        <v>927</v>
      </c>
      <c r="D12" s="644">
        <v>927</v>
      </c>
      <c r="E12" s="687" t="s">
        <v>569</v>
      </c>
      <c r="F12" s="661"/>
      <c r="G12" s="629"/>
      <c r="H12" s="662"/>
      <c r="I12" s="631"/>
      <c r="J12" s="629"/>
      <c r="K12" s="630"/>
      <c r="L12" s="665">
        <v>930</v>
      </c>
      <c r="M12" s="636">
        <v>927</v>
      </c>
      <c r="N12" s="666">
        <v>927</v>
      </c>
      <c r="O12" s="631"/>
      <c r="P12" s="629"/>
      <c r="Q12" s="630"/>
      <c r="R12" s="661"/>
      <c r="S12" s="1031"/>
      <c r="T12" s="1032"/>
      <c r="U12" s="677">
        <f t="shared" si="1"/>
        <v>930</v>
      </c>
      <c r="V12" s="670">
        <f t="shared" si="0"/>
        <v>927</v>
      </c>
      <c r="W12" s="671">
        <f t="shared" si="0"/>
        <v>927</v>
      </c>
      <c r="X12" s="616"/>
    </row>
    <row r="13" spans="1:24" s="615" customFormat="1" ht="60">
      <c r="A13" s="649" t="s">
        <v>570</v>
      </c>
      <c r="B13" s="618"/>
      <c r="C13" s="618">
        <v>250</v>
      </c>
      <c r="D13" s="644">
        <v>250</v>
      </c>
      <c r="E13" s="687" t="s">
        <v>570</v>
      </c>
      <c r="F13" s="665"/>
      <c r="G13" s="636"/>
      <c r="H13" s="666"/>
      <c r="I13" s="634"/>
      <c r="J13" s="636"/>
      <c r="K13" s="635"/>
      <c r="L13" s="665"/>
      <c r="M13" s="636"/>
      <c r="N13" s="666"/>
      <c r="O13" s="634"/>
      <c r="P13" s="636">
        <v>250</v>
      </c>
      <c r="Q13" s="635">
        <v>250</v>
      </c>
      <c r="R13" s="665"/>
      <c r="S13" s="1033"/>
      <c r="T13" s="1034"/>
      <c r="U13" s="677">
        <f t="shared" si="1"/>
        <v>0</v>
      </c>
      <c r="V13" s="670">
        <f t="shared" si="0"/>
        <v>250</v>
      </c>
      <c r="W13" s="671">
        <f t="shared" si="0"/>
        <v>250</v>
      </c>
      <c r="X13" s="616"/>
    </row>
    <row r="14" spans="1:24" s="615" customFormat="1" ht="15">
      <c r="A14" s="649" t="s">
        <v>894</v>
      </c>
      <c r="B14" s="1054"/>
      <c r="C14" s="1054">
        <v>1</v>
      </c>
      <c r="D14" s="1055">
        <v>1</v>
      </c>
      <c r="E14" s="1056" t="s">
        <v>894</v>
      </c>
      <c r="F14" s="1057"/>
      <c r="G14" s="1058"/>
      <c r="H14" s="1059"/>
      <c r="I14" s="1060"/>
      <c r="J14" s="1058"/>
      <c r="K14" s="1061"/>
      <c r="L14" s="1057"/>
      <c r="M14" s="1058">
        <v>1</v>
      </c>
      <c r="N14" s="1059">
        <v>1</v>
      </c>
      <c r="O14" s="1060"/>
      <c r="P14" s="1058"/>
      <c r="Q14" s="1061"/>
      <c r="R14" s="1057"/>
      <c r="S14" s="1058"/>
      <c r="T14" s="1059"/>
      <c r="U14" s="677">
        <f aca="true" t="shared" si="2" ref="U14">F14+I14+L14+R14+O14</f>
        <v>0</v>
      </c>
      <c r="V14" s="670">
        <f aca="true" t="shared" si="3" ref="V14:W14">G14+J14+M14+S14+P14</f>
        <v>1</v>
      </c>
      <c r="W14" s="671">
        <f t="shared" si="3"/>
        <v>1</v>
      </c>
      <c r="X14" s="616"/>
    </row>
    <row r="15" spans="1:24" s="615" customFormat="1" ht="15">
      <c r="A15" s="649"/>
      <c r="B15" s="1029"/>
      <c r="C15" s="1029"/>
      <c r="D15" s="1030"/>
      <c r="E15" s="687"/>
      <c r="F15" s="665"/>
      <c r="G15" s="1033"/>
      <c r="H15" s="1034"/>
      <c r="I15" s="634"/>
      <c r="J15" s="1033"/>
      <c r="K15" s="635"/>
      <c r="L15" s="665"/>
      <c r="M15" s="1033"/>
      <c r="N15" s="1034"/>
      <c r="O15" s="634"/>
      <c r="P15" s="1033"/>
      <c r="Q15" s="635"/>
      <c r="R15" s="665"/>
      <c r="S15" s="1033"/>
      <c r="T15" s="1034"/>
      <c r="U15" s="677"/>
      <c r="V15" s="1035"/>
      <c r="W15" s="1036"/>
      <c r="X15" s="616"/>
    </row>
    <row r="16" spans="1:24" s="615" customFormat="1" ht="15">
      <c r="A16" s="649" t="s">
        <v>872</v>
      </c>
      <c r="B16" s="1029"/>
      <c r="C16" s="1029">
        <v>278534</v>
      </c>
      <c r="D16" s="1030">
        <v>278534</v>
      </c>
      <c r="E16" s="687" t="s">
        <v>872</v>
      </c>
      <c r="F16" s="665"/>
      <c r="G16" s="1033"/>
      <c r="H16" s="1034"/>
      <c r="I16" s="634"/>
      <c r="J16" s="1033"/>
      <c r="K16" s="635"/>
      <c r="L16" s="665"/>
      <c r="M16" s="1033"/>
      <c r="N16" s="1034"/>
      <c r="O16" s="634"/>
      <c r="P16" s="1033"/>
      <c r="Q16" s="635"/>
      <c r="R16" s="665"/>
      <c r="S16" s="1033">
        <v>278534</v>
      </c>
      <c r="T16" s="1034">
        <v>278534</v>
      </c>
      <c r="U16" s="677">
        <f aca="true" t="shared" si="4" ref="U16:W16">F16+I16+L16+R16+O16</f>
        <v>0</v>
      </c>
      <c r="V16" s="1035">
        <f t="shared" si="4"/>
        <v>278534</v>
      </c>
      <c r="W16" s="1036">
        <f t="shared" si="4"/>
        <v>278534</v>
      </c>
      <c r="X16" s="616"/>
    </row>
    <row r="17" spans="1:24" s="615" customFormat="1" ht="15.75" thickBot="1">
      <c r="A17" s="649"/>
      <c r="B17" s="618"/>
      <c r="C17" s="618"/>
      <c r="D17" s="644"/>
      <c r="E17" s="649"/>
      <c r="F17" s="665"/>
      <c r="G17" s="636"/>
      <c r="H17" s="666"/>
      <c r="I17" s="634"/>
      <c r="J17" s="636"/>
      <c r="K17" s="635"/>
      <c r="L17" s="665"/>
      <c r="M17" s="636"/>
      <c r="N17" s="666"/>
      <c r="O17" s="634"/>
      <c r="P17" s="636"/>
      <c r="Q17" s="635"/>
      <c r="R17" s="665"/>
      <c r="S17" s="1033"/>
      <c r="T17" s="1034"/>
      <c r="U17" s="677"/>
      <c r="V17" s="670"/>
      <c r="W17" s="671"/>
      <c r="X17" s="616"/>
    </row>
    <row r="18" spans="1:24" ht="15.75" thickBot="1">
      <c r="A18" s="672" t="s">
        <v>78</v>
      </c>
      <c r="B18" s="673">
        <f>SUM(B6:B17)</f>
        <v>80411</v>
      </c>
      <c r="C18" s="673">
        <f>SUM(C6:C17)</f>
        <v>357035</v>
      </c>
      <c r="D18" s="674">
        <f>SUM(D6:D17)</f>
        <v>357035</v>
      </c>
      <c r="E18" s="688" t="s">
        <v>78</v>
      </c>
      <c r="F18" s="678">
        <f aca="true" t="shared" si="5" ref="F18:T18">SUM(F6:F17)</f>
        <v>26789</v>
      </c>
      <c r="G18" s="673">
        <f aca="true" t="shared" si="6" ref="G18">SUM(G6:G17)</f>
        <v>26789</v>
      </c>
      <c r="H18" s="674">
        <f t="shared" si="5"/>
        <v>26789</v>
      </c>
      <c r="I18" s="680">
        <f t="shared" si="5"/>
        <v>7500</v>
      </c>
      <c r="J18" s="673">
        <f aca="true" t="shared" si="7" ref="J18">SUM(J6:J17)</f>
        <v>7500</v>
      </c>
      <c r="K18" s="675">
        <f t="shared" si="5"/>
        <v>7500</v>
      </c>
      <c r="L18" s="678">
        <f t="shared" si="5"/>
        <v>46122</v>
      </c>
      <c r="M18" s="673">
        <f aca="true" t="shared" si="8" ref="M18">SUM(M6:M17)</f>
        <v>43962</v>
      </c>
      <c r="N18" s="674">
        <f t="shared" si="5"/>
        <v>43962</v>
      </c>
      <c r="O18" s="680">
        <f aca="true" t="shared" si="9" ref="O18:Q18">SUM(O6:O17)</f>
        <v>0</v>
      </c>
      <c r="P18" s="673">
        <f aca="true" t="shared" si="10" ref="P18">SUM(P6:P17)</f>
        <v>250</v>
      </c>
      <c r="Q18" s="675">
        <f t="shared" si="9"/>
        <v>250</v>
      </c>
      <c r="R18" s="678">
        <f t="shared" si="5"/>
        <v>0</v>
      </c>
      <c r="S18" s="673">
        <f aca="true" t="shared" si="11" ref="S18">SUM(S6:S17)</f>
        <v>278534</v>
      </c>
      <c r="T18" s="674">
        <f t="shared" si="5"/>
        <v>278534</v>
      </c>
      <c r="U18" s="678">
        <f aca="true" t="shared" si="12" ref="U18:W18">F18+I18+L18+R18+O18</f>
        <v>80411</v>
      </c>
      <c r="V18" s="673">
        <f t="shared" si="12"/>
        <v>357035</v>
      </c>
      <c r="W18" s="674">
        <f t="shared" si="12"/>
        <v>357035</v>
      </c>
      <c r="X18" s="613"/>
    </row>
    <row r="19" spans="1:24" ht="15">
      <c r="A19" s="637"/>
      <c r="B19" s="638"/>
      <c r="C19" s="638"/>
      <c r="D19" s="638"/>
      <c r="E19" s="637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8"/>
      <c r="V19" s="638"/>
      <c r="W19" s="638"/>
      <c r="X19" s="613"/>
    </row>
    <row r="20" spans="1:24" ht="15">
      <c r="A20" s="641"/>
      <c r="B20" s="641"/>
      <c r="C20" s="641"/>
      <c r="D20" s="641"/>
      <c r="E20" s="640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2"/>
      <c r="V20" s="642"/>
      <c r="W20" s="642"/>
      <c r="X20" s="609"/>
    </row>
    <row r="21" spans="1:24" ht="15">
      <c r="A21" s="1423" t="s">
        <v>995</v>
      </c>
      <c r="B21" s="641"/>
      <c r="C21" s="641"/>
      <c r="D21" s="641"/>
      <c r="E21" s="640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2"/>
      <c r="V21" s="642"/>
      <c r="W21" s="642"/>
      <c r="X21" s="609"/>
    </row>
    <row r="22" spans="1:24" ht="15">
      <c r="A22" s="1423" t="s">
        <v>996</v>
      </c>
      <c r="B22" s="641"/>
      <c r="C22" s="641"/>
      <c r="D22" s="641"/>
      <c r="E22" s="640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2"/>
      <c r="V22" s="642"/>
      <c r="W22" s="642"/>
      <c r="X22" s="609"/>
    </row>
    <row r="23" ht="15">
      <c r="A23" s="1423" t="s">
        <v>997</v>
      </c>
    </row>
    <row r="24" ht="15">
      <c r="A24" s="1423" t="s">
        <v>998</v>
      </c>
    </row>
    <row r="25" ht="15">
      <c r="A25" s="1423" t="s">
        <v>999</v>
      </c>
    </row>
  </sheetData>
  <mergeCells count="14">
    <mergeCell ref="L4:N4"/>
    <mergeCell ref="R4:T4"/>
    <mergeCell ref="U4:W4"/>
    <mergeCell ref="A1:W1"/>
    <mergeCell ref="A3:D3"/>
    <mergeCell ref="E3:W3"/>
    <mergeCell ref="A4:A5"/>
    <mergeCell ref="B4:B5"/>
    <mergeCell ref="C4:C5"/>
    <mergeCell ref="D4:D5"/>
    <mergeCell ref="E4:E5"/>
    <mergeCell ref="F4:H4"/>
    <mergeCell ref="I4:K4"/>
    <mergeCell ref="O4:Q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9" r:id="rId1"/>
  <headerFooter>
    <oddHeader>&amp;L&amp;"Times New Roman,Normál"&amp;8 14. melléklet 1,2,3,4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view="pageLayout" workbookViewId="0" topLeftCell="A1">
      <selection activeCell="B126" sqref="B126:B130"/>
    </sheetView>
  </sheetViews>
  <sheetFormatPr defaultColWidth="9.140625" defaultRowHeight="15"/>
  <cols>
    <col min="1" max="1" width="12.57421875" style="1141" customWidth="1"/>
    <col min="2" max="2" width="79.28125" style="1141" customWidth="1"/>
    <col min="3" max="4" width="17.00390625" style="1141" customWidth="1"/>
    <col min="5" max="5" width="11.140625" style="1142" customWidth="1"/>
    <col min="6" max="6" width="13.7109375" style="1143" customWidth="1"/>
    <col min="7" max="10" width="14.421875" style="1144" hidden="1" customWidth="1"/>
    <col min="11" max="11" width="12.140625" style="1144" customWidth="1"/>
    <col min="12" max="13" width="12.140625" style="1144" hidden="1" customWidth="1"/>
    <col min="14" max="14" width="12.140625" style="1144" customWidth="1"/>
    <col min="15" max="15" width="12.28125" style="1141" customWidth="1"/>
    <col min="16" max="16384" width="9.140625" style="1141" customWidth="1"/>
  </cols>
  <sheetData>
    <row r="2" spans="1:15" ht="15">
      <c r="A2" s="1640" t="s">
        <v>571</v>
      </c>
      <c r="B2" s="1640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</row>
    <row r="3" spans="1:15" ht="15">
      <c r="A3" s="1640" t="s">
        <v>572</v>
      </c>
      <c r="B3" s="1640"/>
      <c r="C3" s="1640"/>
      <c r="D3" s="1640"/>
      <c r="E3" s="1640"/>
      <c r="F3" s="1640"/>
      <c r="G3" s="1640"/>
      <c r="H3" s="1640"/>
      <c r="I3" s="1640"/>
      <c r="J3" s="1640"/>
      <c r="K3" s="1640"/>
      <c r="L3" s="1640"/>
      <c r="M3" s="1640"/>
      <c r="N3" s="1640"/>
      <c r="O3" s="1640"/>
    </row>
    <row r="4" spans="13:15" ht="16.5" thickBot="1">
      <c r="M4" s="1145"/>
      <c r="O4" s="1146"/>
    </row>
    <row r="5" spans="1:15" ht="28.5" customHeight="1" thickTop="1">
      <c r="A5" s="1641" t="s">
        <v>943</v>
      </c>
      <c r="B5" s="1643" t="s">
        <v>573</v>
      </c>
      <c r="C5" s="1645" t="s">
        <v>574</v>
      </c>
      <c r="D5" s="1646"/>
      <c r="E5" s="1646"/>
      <c r="F5" s="1646"/>
      <c r="G5" s="1646"/>
      <c r="H5" s="1147"/>
      <c r="I5" s="1147"/>
      <c r="J5" s="1148"/>
      <c r="K5" s="1647" t="s">
        <v>957</v>
      </c>
      <c r="L5" s="1649" t="s">
        <v>958</v>
      </c>
      <c r="M5" s="1649" t="s">
        <v>959</v>
      </c>
      <c r="N5" s="1649" t="s">
        <v>960</v>
      </c>
      <c r="O5" s="1651" t="s">
        <v>961</v>
      </c>
    </row>
    <row r="6" spans="1:15" ht="70.5" customHeight="1" thickBot="1">
      <c r="A6" s="1642"/>
      <c r="B6" s="1644"/>
      <c r="C6" s="1149" t="s">
        <v>944</v>
      </c>
      <c r="D6" s="1635" t="s">
        <v>945</v>
      </c>
      <c r="E6" s="1636"/>
      <c r="F6" s="1149" t="s">
        <v>946</v>
      </c>
      <c r="G6" s="1150" t="s">
        <v>962</v>
      </c>
      <c r="H6" s="1150" t="s">
        <v>963</v>
      </c>
      <c r="I6" s="1150" t="s">
        <v>964</v>
      </c>
      <c r="J6" s="1150" t="s">
        <v>965</v>
      </c>
      <c r="K6" s="1648"/>
      <c r="L6" s="1650"/>
      <c r="M6" s="1650"/>
      <c r="N6" s="1650"/>
      <c r="O6" s="1652"/>
    </row>
    <row r="7" spans="1:15" ht="23.25" customHeight="1" thickTop="1">
      <c r="A7" s="1151" t="s">
        <v>575</v>
      </c>
      <c r="B7" s="1152" t="s">
        <v>576</v>
      </c>
      <c r="C7" s="1153"/>
      <c r="D7" s="1153"/>
      <c r="E7" s="1154"/>
      <c r="F7" s="1155"/>
      <c r="G7" s="1156"/>
      <c r="H7" s="1156"/>
      <c r="I7" s="1156"/>
      <c r="J7" s="1157"/>
      <c r="K7" s="1157"/>
      <c r="L7" s="1157"/>
      <c r="M7" s="1158"/>
      <c r="N7" s="1158"/>
      <c r="O7" s="1159"/>
    </row>
    <row r="8" spans="1:15" ht="15">
      <c r="A8" s="1160" t="s">
        <v>577</v>
      </c>
      <c r="B8" s="1161" t="s">
        <v>966</v>
      </c>
      <c r="C8" s="1162">
        <v>58.32</v>
      </c>
      <c r="D8" s="1162">
        <v>58.32</v>
      </c>
      <c r="E8" s="1163" t="s">
        <v>578</v>
      </c>
      <c r="F8" s="1164">
        <v>4580000</v>
      </c>
      <c r="G8" s="1165">
        <f>C8*F8</f>
        <v>267105600</v>
      </c>
      <c r="H8" s="1165">
        <f>267105600</f>
        <v>267105600</v>
      </c>
      <c r="I8" s="1165">
        <f>267105600</f>
        <v>267105600</v>
      </c>
      <c r="J8" s="1165">
        <f>267105600</f>
        <v>267105600</v>
      </c>
      <c r="K8" s="1166">
        <v>267106</v>
      </c>
      <c r="L8" s="1166">
        <v>267106</v>
      </c>
      <c r="M8" s="1158">
        <v>267106</v>
      </c>
      <c r="N8" s="1158">
        <v>267106</v>
      </c>
      <c r="O8" s="1167">
        <v>267106</v>
      </c>
    </row>
    <row r="9" spans="1:15" ht="15">
      <c r="A9" s="1160"/>
      <c r="B9" s="1168" t="s">
        <v>579</v>
      </c>
      <c r="C9" s="1162"/>
      <c r="D9" s="1162"/>
      <c r="E9" s="1163"/>
      <c r="F9" s="1164"/>
      <c r="G9" s="1165">
        <v>-70387817</v>
      </c>
      <c r="H9" s="1165">
        <v>-70387817</v>
      </c>
      <c r="I9" s="1165">
        <v>-70387817</v>
      </c>
      <c r="J9" s="1165">
        <v>-70387817</v>
      </c>
      <c r="K9" s="1166">
        <v>-70388</v>
      </c>
      <c r="L9" s="1166">
        <v>-70388</v>
      </c>
      <c r="M9" s="1158">
        <v>-70388</v>
      </c>
      <c r="N9" s="1158">
        <v>-70388</v>
      </c>
      <c r="O9" s="1167">
        <v>-70388</v>
      </c>
    </row>
    <row r="10" spans="1:15" ht="15">
      <c r="A10" s="1160"/>
      <c r="B10" s="1161" t="s">
        <v>580</v>
      </c>
      <c r="C10" s="1162"/>
      <c r="D10" s="1162"/>
      <c r="E10" s="1163"/>
      <c r="F10" s="1164"/>
      <c r="G10" s="1169">
        <f aca="true" t="shared" si="0" ref="G10:O10">SUM(G8:G9)</f>
        <v>196717783</v>
      </c>
      <c r="H10" s="1169">
        <f t="shared" si="0"/>
        <v>196717783</v>
      </c>
      <c r="I10" s="1169">
        <f t="shared" si="0"/>
        <v>196717783</v>
      </c>
      <c r="J10" s="1169">
        <f t="shared" si="0"/>
        <v>196717783</v>
      </c>
      <c r="K10" s="1170">
        <f t="shared" si="0"/>
        <v>196718</v>
      </c>
      <c r="L10" s="1170">
        <f t="shared" si="0"/>
        <v>196718</v>
      </c>
      <c r="M10" s="1171">
        <f t="shared" si="0"/>
        <v>196718</v>
      </c>
      <c r="N10" s="1171">
        <f t="shared" si="0"/>
        <v>196718</v>
      </c>
      <c r="O10" s="1172">
        <f t="shared" si="0"/>
        <v>196718</v>
      </c>
    </row>
    <row r="11" spans="1:15" ht="15">
      <c r="A11" s="1173" t="s">
        <v>581</v>
      </c>
      <c r="B11" s="1174" t="s">
        <v>582</v>
      </c>
      <c r="C11" s="1162"/>
      <c r="D11" s="1162"/>
      <c r="E11" s="1163"/>
      <c r="F11" s="1164"/>
      <c r="G11" s="1158"/>
      <c r="H11" s="1158"/>
      <c r="I11" s="1158"/>
      <c r="J11" s="1158"/>
      <c r="K11" s="1166"/>
      <c r="L11" s="1166"/>
      <c r="M11" s="1158"/>
      <c r="N11" s="1158"/>
      <c r="O11" s="1167"/>
    </row>
    <row r="12" spans="1:15" ht="15">
      <c r="A12" s="1175" t="s">
        <v>583</v>
      </c>
      <c r="B12" s="1176" t="s">
        <v>584</v>
      </c>
      <c r="C12" s="1177">
        <f>G12/F12</f>
        <v>1705.2</v>
      </c>
      <c r="D12" s="1177">
        <f>H12/G12</f>
        <v>1</v>
      </c>
      <c r="E12" s="1178" t="s">
        <v>585</v>
      </c>
      <c r="F12" s="1179">
        <v>22300</v>
      </c>
      <c r="G12" s="1158">
        <v>38025960</v>
      </c>
      <c r="H12" s="1158">
        <v>38025960</v>
      </c>
      <c r="I12" s="1158">
        <v>38025960</v>
      </c>
      <c r="J12" s="1158">
        <v>38025960</v>
      </c>
      <c r="K12" s="1166">
        <v>38026</v>
      </c>
      <c r="L12" s="1166">
        <v>38026</v>
      </c>
      <c r="M12" s="1158">
        <v>38026</v>
      </c>
      <c r="N12" s="1158">
        <v>38026</v>
      </c>
      <c r="O12" s="1167">
        <v>38026</v>
      </c>
    </row>
    <row r="13" spans="1:15" ht="15">
      <c r="A13" s="1175"/>
      <c r="B13" s="1168" t="s">
        <v>579</v>
      </c>
      <c r="C13" s="1177"/>
      <c r="D13" s="1177"/>
      <c r="E13" s="1178"/>
      <c r="F13" s="1179"/>
      <c r="G13" s="1158">
        <v>-38025960</v>
      </c>
      <c r="H13" s="1158">
        <v>-38025960</v>
      </c>
      <c r="I13" s="1158">
        <v>-38025960</v>
      </c>
      <c r="J13" s="1158">
        <v>-38025960</v>
      </c>
      <c r="K13" s="1166">
        <v>-38026</v>
      </c>
      <c r="L13" s="1166">
        <v>-38026</v>
      </c>
      <c r="M13" s="1158">
        <v>-38026</v>
      </c>
      <c r="N13" s="1158">
        <v>-38026</v>
      </c>
      <c r="O13" s="1167">
        <v>-38026</v>
      </c>
    </row>
    <row r="14" spans="1:15" ht="15">
      <c r="A14" s="1175" t="s">
        <v>586</v>
      </c>
      <c r="B14" s="1180" t="s">
        <v>587</v>
      </c>
      <c r="C14" s="1181">
        <f>G14/F14</f>
        <v>208.6</v>
      </c>
      <c r="D14" s="1181">
        <f>H14/G14</f>
        <v>1</v>
      </c>
      <c r="E14" s="1182" t="s">
        <v>588</v>
      </c>
      <c r="F14" s="1183">
        <v>400000</v>
      </c>
      <c r="G14" s="1158">
        <v>83440000</v>
      </c>
      <c r="H14" s="1158">
        <v>83440000</v>
      </c>
      <c r="I14" s="1158">
        <v>83440000</v>
      </c>
      <c r="J14" s="1158">
        <v>83440000</v>
      </c>
      <c r="K14" s="1166">
        <v>83440</v>
      </c>
      <c r="L14" s="1166">
        <v>83440</v>
      </c>
      <c r="M14" s="1158">
        <v>83440</v>
      </c>
      <c r="N14" s="1158">
        <v>83440</v>
      </c>
      <c r="O14" s="1167">
        <v>83440</v>
      </c>
    </row>
    <row r="15" spans="1:15" ht="15">
      <c r="A15" s="1175"/>
      <c r="B15" s="1168" t="s">
        <v>579</v>
      </c>
      <c r="C15" s="1181"/>
      <c r="D15" s="1181"/>
      <c r="E15" s="1182"/>
      <c r="F15" s="1183"/>
      <c r="G15" s="1158">
        <v>-83440000</v>
      </c>
      <c r="H15" s="1158">
        <v>-83440000</v>
      </c>
      <c r="I15" s="1158">
        <v>-83440000</v>
      </c>
      <c r="J15" s="1158">
        <v>-83440000</v>
      </c>
      <c r="K15" s="1166">
        <v>-83440</v>
      </c>
      <c r="L15" s="1166">
        <v>-83440</v>
      </c>
      <c r="M15" s="1158">
        <v>-83440</v>
      </c>
      <c r="N15" s="1158">
        <v>-83440</v>
      </c>
      <c r="O15" s="1167">
        <v>-83440</v>
      </c>
    </row>
    <row r="16" spans="1:15" ht="15">
      <c r="A16" s="1175" t="s">
        <v>589</v>
      </c>
      <c r="B16" s="1184" t="s">
        <v>590</v>
      </c>
      <c r="C16" s="1185">
        <f>G16/F16</f>
        <v>129404</v>
      </c>
      <c r="D16" s="1185">
        <f>H16/G16</f>
        <v>1</v>
      </c>
      <c r="E16" s="1182" t="s">
        <v>591</v>
      </c>
      <c r="F16" s="1179">
        <v>104</v>
      </c>
      <c r="G16" s="1158">
        <v>13458016</v>
      </c>
      <c r="H16" s="1158">
        <v>13458016</v>
      </c>
      <c r="I16" s="1158">
        <v>13458016</v>
      </c>
      <c r="J16" s="1158">
        <v>13458016</v>
      </c>
      <c r="K16" s="1166">
        <v>13458</v>
      </c>
      <c r="L16" s="1166">
        <v>13458</v>
      </c>
      <c r="M16" s="1158">
        <v>13458</v>
      </c>
      <c r="N16" s="1158">
        <v>13458</v>
      </c>
      <c r="O16" s="1167">
        <v>13458</v>
      </c>
    </row>
    <row r="17" spans="1:15" ht="15">
      <c r="A17" s="1175"/>
      <c r="B17" s="1168" t="s">
        <v>579</v>
      </c>
      <c r="C17" s="1185"/>
      <c r="D17" s="1185"/>
      <c r="E17" s="1182"/>
      <c r="F17" s="1179"/>
      <c r="G17" s="1158">
        <v>-13458016</v>
      </c>
      <c r="H17" s="1158">
        <v>-13458016</v>
      </c>
      <c r="I17" s="1158">
        <v>-13458016</v>
      </c>
      <c r="J17" s="1158">
        <v>-13458016</v>
      </c>
      <c r="K17" s="1166">
        <v>-13458</v>
      </c>
      <c r="L17" s="1166">
        <v>-13458</v>
      </c>
      <c r="M17" s="1158">
        <v>-13458</v>
      </c>
      <c r="N17" s="1158">
        <v>-13458</v>
      </c>
      <c r="O17" s="1167">
        <v>-13458</v>
      </c>
    </row>
    <row r="18" spans="1:15" ht="15">
      <c r="A18" s="1175" t="s">
        <v>592</v>
      </c>
      <c r="B18" s="1184" t="s">
        <v>593</v>
      </c>
      <c r="C18" s="1186">
        <f>G18/F18</f>
        <v>102.41</v>
      </c>
      <c r="D18" s="1186">
        <f>H18/G18</f>
        <v>1</v>
      </c>
      <c r="E18" s="1182" t="s">
        <v>588</v>
      </c>
      <c r="F18" s="1187">
        <v>295000</v>
      </c>
      <c r="G18" s="1158">
        <v>30210950</v>
      </c>
      <c r="H18" s="1158">
        <v>30210950</v>
      </c>
      <c r="I18" s="1158">
        <v>30210950</v>
      </c>
      <c r="J18" s="1158">
        <v>30210950</v>
      </c>
      <c r="K18" s="1166">
        <v>30211</v>
      </c>
      <c r="L18" s="1166">
        <v>30211</v>
      </c>
      <c r="M18" s="1158">
        <v>30211</v>
      </c>
      <c r="N18" s="1158">
        <v>30211</v>
      </c>
      <c r="O18" s="1167">
        <v>30211</v>
      </c>
    </row>
    <row r="19" spans="1:15" ht="15">
      <c r="A19" s="1175"/>
      <c r="B19" s="1168" t="s">
        <v>579</v>
      </c>
      <c r="C19" s="1186"/>
      <c r="D19" s="1186"/>
      <c r="E19" s="1182"/>
      <c r="F19" s="1187"/>
      <c r="G19" s="1158">
        <v>-30210950</v>
      </c>
      <c r="H19" s="1158">
        <v>-30210950</v>
      </c>
      <c r="I19" s="1158">
        <v>-30210950</v>
      </c>
      <c r="J19" s="1158">
        <v>-30210950</v>
      </c>
      <c r="K19" s="1166">
        <v>-30211</v>
      </c>
      <c r="L19" s="1166">
        <v>-30211</v>
      </c>
      <c r="M19" s="1158">
        <v>-30211</v>
      </c>
      <c r="N19" s="1158">
        <v>-30211</v>
      </c>
      <c r="O19" s="1167">
        <v>-30211</v>
      </c>
    </row>
    <row r="20" spans="1:15" ht="15">
      <c r="A20" s="1188" t="s">
        <v>581</v>
      </c>
      <c r="B20" s="1189" t="s">
        <v>594</v>
      </c>
      <c r="C20" s="1190"/>
      <c r="D20" s="1190"/>
      <c r="E20" s="1191"/>
      <c r="F20" s="1192"/>
      <c r="G20" s="1169">
        <f aca="true" t="shared" si="1" ref="G20:O20">SUM(G12:G19)</f>
        <v>0</v>
      </c>
      <c r="H20" s="1169">
        <f t="shared" si="1"/>
        <v>0</v>
      </c>
      <c r="I20" s="1169">
        <f t="shared" si="1"/>
        <v>0</v>
      </c>
      <c r="J20" s="1169">
        <f t="shared" si="1"/>
        <v>0</v>
      </c>
      <c r="K20" s="1193">
        <f t="shared" si="1"/>
        <v>0</v>
      </c>
      <c r="L20" s="1193">
        <f t="shared" si="1"/>
        <v>0</v>
      </c>
      <c r="M20" s="1169">
        <f t="shared" si="1"/>
        <v>0</v>
      </c>
      <c r="N20" s="1169">
        <f t="shared" si="1"/>
        <v>0</v>
      </c>
      <c r="O20" s="1194">
        <f t="shared" si="1"/>
        <v>0</v>
      </c>
    </row>
    <row r="21" spans="1:15" ht="15">
      <c r="A21" s="1188" t="s">
        <v>595</v>
      </c>
      <c r="B21" s="1195" t="s">
        <v>967</v>
      </c>
      <c r="C21" s="1158">
        <v>23343</v>
      </c>
      <c r="D21" s="1158">
        <v>23343</v>
      </c>
      <c r="E21" s="1163" t="s">
        <v>578</v>
      </c>
      <c r="F21" s="1164">
        <v>2700</v>
      </c>
      <c r="G21" s="1169">
        <f>C21*F21</f>
        <v>63026100</v>
      </c>
      <c r="H21" s="1169">
        <f>63026100</f>
        <v>63026100</v>
      </c>
      <c r="I21" s="1169">
        <f>63026100</f>
        <v>63026100</v>
      </c>
      <c r="J21" s="1169">
        <f>63026100</f>
        <v>63026100</v>
      </c>
      <c r="K21" s="1166">
        <v>63026</v>
      </c>
      <c r="L21" s="1166">
        <v>63026</v>
      </c>
      <c r="M21" s="1158">
        <v>63026</v>
      </c>
      <c r="N21" s="1158">
        <v>63026</v>
      </c>
      <c r="O21" s="1167">
        <v>63026</v>
      </c>
    </row>
    <row r="22" spans="1:15" ht="15">
      <c r="A22" s="1188"/>
      <c r="B22" s="1168" t="s">
        <v>579</v>
      </c>
      <c r="C22" s="1158"/>
      <c r="D22" s="1158"/>
      <c r="E22" s="1163"/>
      <c r="F22" s="1164"/>
      <c r="G22" s="1165">
        <v>-63026100</v>
      </c>
      <c r="H22" s="1165">
        <v>-63026100</v>
      </c>
      <c r="I22" s="1165">
        <v>-63026100</v>
      </c>
      <c r="J22" s="1165">
        <v>-63026100</v>
      </c>
      <c r="K22" s="1166">
        <v>-63026</v>
      </c>
      <c r="L22" s="1166">
        <v>-63026</v>
      </c>
      <c r="M22" s="1158">
        <v>-63026</v>
      </c>
      <c r="N22" s="1158">
        <v>-63026</v>
      </c>
      <c r="O22" s="1167">
        <v>-63026</v>
      </c>
    </row>
    <row r="23" spans="1:15" ht="16.5" customHeight="1">
      <c r="A23" s="1188" t="s">
        <v>596</v>
      </c>
      <c r="B23" s="1195" t="s">
        <v>597</v>
      </c>
      <c r="C23" s="1162">
        <v>691</v>
      </c>
      <c r="D23" s="1162">
        <v>691</v>
      </c>
      <c r="E23" s="1163" t="s">
        <v>578</v>
      </c>
      <c r="F23" s="1164">
        <v>2550</v>
      </c>
      <c r="G23" s="1169">
        <f>C23*F23</f>
        <v>1762050</v>
      </c>
      <c r="H23" s="1169">
        <f>1762050</f>
        <v>1762050</v>
      </c>
      <c r="I23" s="1169">
        <f>1762050</f>
        <v>1762050</v>
      </c>
      <c r="J23" s="1169">
        <f>1762050</f>
        <v>1762050</v>
      </c>
      <c r="K23" s="1166">
        <v>1762</v>
      </c>
      <c r="L23" s="1166">
        <v>1762</v>
      </c>
      <c r="M23" s="1158">
        <v>1762</v>
      </c>
      <c r="N23" s="1158">
        <v>1762</v>
      </c>
      <c r="O23" s="1167">
        <v>1762</v>
      </c>
    </row>
    <row r="24" spans="1:15" ht="15">
      <c r="A24" s="1188"/>
      <c r="B24" s="1168" t="s">
        <v>579</v>
      </c>
      <c r="C24" s="1162"/>
      <c r="D24" s="1162"/>
      <c r="E24" s="1163"/>
      <c r="F24" s="1164"/>
      <c r="G24" s="1165">
        <v>-1762050</v>
      </c>
      <c r="H24" s="1165">
        <v>-1762050</v>
      </c>
      <c r="I24" s="1165">
        <v>-1762050</v>
      </c>
      <c r="J24" s="1165">
        <v>-1762050</v>
      </c>
      <c r="K24" s="1166">
        <v>-1762</v>
      </c>
      <c r="L24" s="1166">
        <v>-1762</v>
      </c>
      <c r="M24" s="1158">
        <v>-1762</v>
      </c>
      <c r="N24" s="1158">
        <v>-1762</v>
      </c>
      <c r="O24" s="1167">
        <v>-1762</v>
      </c>
    </row>
    <row r="25" spans="1:15" ht="15">
      <c r="A25" s="1188" t="s">
        <v>598</v>
      </c>
      <c r="B25" s="1189" t="s">
        <v>599</v>
      </c>
      <c r="C25" s="1158">
        <v>43044000</v>
      </c>
      <c r="D25" s="1158">
        <v>43044000</v>
      </c>
      <c r="E25" s="1196" t="s">
        <v>600</v>
      </c>
      <c r="F25" s="1197">
        <v>1</v>
      </c>
      <c r="G25" s="1169">
        <f>C25*F25</f>
        <v>43044000</v>
      </c>
      <c r="H25" s="1169">
        <f>43044000</f>
        <v>43044000</v>
      </c>
      <c r="I25" s="1169">
        <f>43044000</f>
        <v>43044000</v>
      </c>
      <c r="J25" s="1169">
        <f>43044000</f>
        <v>43044000</v>
      </c>
      <c r="K25" s="1166">
        <v>43044</v>
      </c>
      <c r="L25" s="1166">
        <v>43044</v>
      </c>
      <c r="M25" s="1158">
        <v>43044</v>
      </c>
      <c r="N25" s="1158">
        <v>43044</v>
      </c>
      <c r="O25" s="1167">
        <v>43044</v>
      </c>
    </row>
    <row r="26" spans="1:15" ht="15">
      <c r="A26" s="1188"/>
      <c r="B26" s="1168" t="s">
        <v>579</v>
      </c>
      <c r="C26" s="1158"/>
      <c r="D26" s="1158"/>
      <c r="E26" s="1196"/>
      <c r="F26" s="1197"/>
      <c r="G26" s="1169">
        <v>-43044000</v>
      </c>
      <c r="H26" s="1169">
        <v>-43044000</v>
      </c>
      <c r="I26" s="1169">
        <v>-43044000</v>
      </c>
      <c r="J26" s="1169">
        <v>-43044000</v>
      </c>
      <c r="K26" s="1166">
        <v>-43044</v>
      </c>
      <c r="L26" s="1166">
        <v>-43044</v>
      </c>
      <c r="M26" s="1158">
        <v>-43044</v>
      </c>
      <c r="N26" s="1158">
        <v>-43044</v>
      </c>
      <c r="O26" s="1167">
        <v>-43044</v>
      </c>
    </row>
    <row r="27" spans="1:15" ht="15">
      <c r="A27" s="1198" t="s">
        <v>601</v>
      </c>
      <c r="B27" s="1199" t="s">
        <v>602</v>
      </c>
      <c r="C27" s="1162"/>
      <c r="D27" s="1162"/>
      <c r="E27" s="1163"/>
      <c r="F27" s="1164"/>
      <c r="G27" s="1171">
        <f aca="true" t="shared" si="2" ref="G27:O27">G10+G20+G21+G22+G23+G24+G25+G26</f>
        <v>196717783</v>
      </c>
      <c r="H27" s="1171">
        <f t="shared" si="2"/>
        <v>196717783</v>
      </c>
      <c r="I27" s="1171">
        <f t="shared" si="2"/>
        <v>196717783</v>
      </c>
      <c r="J27" s="1171">
        <f t="shared" si="2"/>
        <v>196717783</v>
      </c>
      <c r="K27" s="1170">
        <f t="shared" si="2"/>
        <v>196718</v>
      </c>
      <c r="L27" s="1170">
        <f t="shared" si="2"/>
        <v>196718</v>
      </c>
      <c r="M27" s="1171">
        <f t="shared" si="2"/>
        <v>196718</v>
      </c>
      <c r="N27" s="1171">
        <f t="shared" si="2"/>
        <v>196718</v>
      </c>
      <c r="O27" s="1172">
        <f t="shared" si="2"/>
        <v>196718</v>
      </c>
    </row>
    <row r="28" spans="1:15" ht="15">
      <c r="A28" s="1198" t="s">
        <v>603</v>
      </c>
      <c r="B28" s="1199" t="s">
        <v>604</v>
      </c>
      <c r="C28" s="1200" t="s">
        <v>605</v>
      </c>
      <c r="D28" s="1200" t="s">
        <v>605</v>
      </c>
      <c r="E28" s="1163"/>
      <c r="F28" s="1164"/>
      <c r="G28" s="1158">
        <v>815814</v>
      </c>
      <c r="H28" s="1158">
        <v>815814</v>
      </c>
      <c r="I28" s="1158">
        <v>815814</v>
      </c>
      <c r="J28" s="1158">
        <v>815814</v>
      </c>
      <c r="K28" s="1397">
        <v>0</v>
      </c>
      <c r="L28" s="1397">
        <v>816</v>
      </c>
      <c r="M28" s="1398">
        <v>816</v>
      </c>
      <c r="N28" s="1398">
        <v>816</v>
      </c>
      <c r="O28" s="1399">
        <v>816</v>
      </c>
    </row>
    <row r="29" spans="1:15" ht="15">
      <c r="A29" s="1421" t="s">
        <v>575</v>
      </c>
      <c r="B29" s="1199" t="s">
        <v>606</v>
      </c>
      <c r="C29" s="1162"/>
      <c r="D29" s="1162"/>
      <c r="E29" s="1163"/>
      <c r="F29" s="1201"/>
      <c r="G29" s="1202">
        <f aca="true" t="shared" si="3" ref="G29:O29">G27+G28</f>
        <v>197533597</v>
      </c>
      <c r="H29" s="1202">
        <f t="shared" si="3"/>
        <v>197533597</v>
      </c>
      <c r="I29" s="1202">
        <f t="shared" si="3"/>
        <v>197533597</v>
      </c>
      <c r="J29" s="1202">
        <f t="shared" si="3"/>
        <v>197533597</v>
      </c>
      <c r="K29" s="1400">
        <f t="shared" si="3"/>
        <v>196718</v>
      </c>
      <c r="L29" s="1400">
        <f t="shared" si="3"/>
        <v>197534</v>
      </c>
      <c r="M29" s="1401">
        <f t="shared" si="3"/>
        <v>197534</v>
      </c>
      <c r="N29" s="1401">
        <f t="shared" si="3"/>
        <v>197534</v>
      </c>
      <c r="O29" s="1402">
        <f t="shared" si="3"/>
        <v>197534</v>
      </c>
    </row>
    <row r="30" spans="1:15" ht="30" customHeight="1">
      <c r="A30" s="1188" t="s">
        <v>607</v>
      </c>
      <c r="B30" s="1203" t="s">
        <v>608</v>
      </c>
      <c r="C30" s="1162"/>
      <c r="D30" s="1162"/>
      <c r="E30" s="1163"/>
      <c r="F30" s="1164"/>
      <c r="G30" s="1158"/>
      <c r="H30" s="1158"/>
      <c r="I30" s="1158"/>
      <c r="J30" s="1158"/>
      <c r="K30" s="1166"/>
      <c r="L30" s="1166"/>
      <c r="M30" s="1158"/>
      <c r="N30" s="1158"/>
      <c r="O30" s="1167"/>
    </row>
    <row r="31" spans="1:15" ht="22.5" customHeight="1">
      <c r="A31" s="1188"/>
      <c r="B31" s="1204" t="s">
        <v>609</v>
      </c>
      <c r="C31" s="1162">
        <v>49.8</v>
      </c>
      <c r="D31" s="1162">
        <v>50.2</v>
      </c>
      <c r="E31" s="1163" t="s">
        <v>578</v>
      </c>
      <c r="F31" s="1164">
        <v>4419000</v>
      </c>
      <c r="G31" s="1158">
        <f>C31*F31*8/12</f>
        <v>146710800</v>
      </c>
      <c r="H31" s="1158">
        <f>D31*F31/12*8</f>
        <v>147889200</v>
      </c>
      <c r="I31" s="1158">
        <f>147889200-5008200</f>
        <v>142881000</v>
      </c>
      <c r="J31" s="1158">
        <f>147889200-5008200</f>
        <v>142881000</v>
      </c>
      <c r="K31" s="1166">
        <v>146711</v>
      </c>
      <c r="L31" s="1166">
        <v>146711</v>
      </c>
      <c r="M31" s="1158">
        <f>146711+1178</f>
        <v>147889</v>
      </c>
      <c r="N31" s="1158">
        <f>147889-5008</f>
        <v>142881</v>
      </c>
      <c r="O31" s="1167">
        <f>147889-5008</f>
        <v>142881</v>
      </c>
    </row>
    <row r="32" spans="1:15" ht="19.5" customHeight="1">
      <c r="A32" s="1188"/>
      <c r="B32" s="1204" t="s">
        <v>610</v>
      </c>
      <c r="C32" s="1205">
        <v>48.5</v>
      </c>
      <c r="D32" s="1205">
        <v>48.5</v>
      </c>
      <c r="E32" s="1163" t="s">
        <v>578</v>
      </c>
      <c r="F32" s="1164">
        <v>4419000</v>
      </c>
      <c r="G32" s="1158">
        <f>C32*F32*4/12</f>
        <v>71440500</v>
      </c>
      <c r="H32" s="1158">
        <f>71440500</f>
        <v>71440500</v>
      </c>
      <c r="I32" s="1158">
        <f>71440500+1914900</f>
        <v>73355400</v>
      </c>
      <c r="J32" s="1158">
        <f>71440500+1914900</f>
        <v>73355400</v>
      </c>
      <c r="K32" s="1166">
        <v>71440</v>
      </c>
      <c r="L32" s="1166">
        <v>71440</v>
      </c>
      <c r="M32" s="1158">
        <v>71440</v>
      </c>
      <c r="N32" s="1158">
        <f>71440+1915</f>
        <v>73355</v>
      </c>
      <c r="O32" s="1167">
        <f>71440+1915</f>
        <v>73355</v>
      </c>
    </row>
    <row r="33" spans="1:15" ht="18" customHeight="1">
      <c r="A33" s="1188"/>
      <c r="B33" s="1204" t="s">
        <v>611</v>
      </c>
      <c r="C33" s="1162">
        <v>34</v>
      </c>
      <c r="D33" s="1162">
        <v>34</v>
      </c>
      <c r="E33" s="1163" t="s">
        <v>578</v>
      </c>
      <c r="F33" s="1164">
        <v>2205000</v>
      </c>
      <c r="G33" s="1158">
        <f>C33*F33*8/12</f>
        <v>49980000</v>
      </c>
      <c r="H33" s="1158">
        <f>49980000</f>
        <v>49980000</v>
      </c>
      <c r="I33" s="1158">
        <f>49980000-147000</f>
        <v>49833000</v>
      </c>
      <c r="J33" s="1158">
        <f>49980000-147000</f>
        <v>49833000</v>
      </c>
      <c r="K33" s="1166">
        <v>49980</v>
      </c>
      <c r="L33" s="1166">
        <v>49980</v>
      </c>
      <c r="M33" s="1158">
        <v>49980</v>
      </c>
      <c r="N33" s="1158">
        <f>49980-147</f>
        <v>49833</v>
      </c>
      <c r="O33" s="1167">
        <f>49980-147</f>
        <v>49833</v>
      </c>
    </row>
    <row r="34" spans="1:15" ht="21.75" customHeight="1">
      <c r="A34" s="1188"/>
      <c r="B34" s="1204" t="s">
        <v>612</v>
      </c>
      <c r="C34" s="1162">
        <v>34</v>
      </c>
      <c r="D34" s="1162">
        <v>34</v>
      </c>
      <c r="E34" s="1163" t="s">
        <v>578</v>
      </c>
      <c r="F34" s="1164">
        <v>2205000</v>
      </c>
      <c r="G34" s="1158">
        <f>C34*F34*4/12</f>
        <v>24990000</v>
      </c>
      <c r="H34" s="1158">
        <f>24990000</f>
        <v>24990000</v>
      </c>
      <c r="I34" s="1158">
        <f>24990000-73500</f>
        <v>24916500</v>
      </c>
      <c r="J34" s="1158">
        <f>24990000-73500</f>
        <v>24916500</v>
      </c>
      <c r="K34" s="1166">
        <v>24990</v>
      </c>
      <c r="L34" s="1166">
        <v>24990</v>
      </c>
      <c r="M34" s="1158">
        <v>24990</v>
      </c>
      <c r="N34" s="1158">
        <f>24990-73</f>
        <v>24917</v>
      </c>
      <c r="O34" s="1167">
        <f>24990-73</f>
        <v>24917</v>
      </c>
    </row>
    <row r="35" spans="1:15" ht="32.25" customHeight="1">
      <c r="A35" s="1198" t="s">
        <v>607</v>
      </c>
      <c r="B35" s="1206" t="s">
        <v>613</v>
      </c>
      <c r="C35" s="1162"/>
      <c r="D35" s="1162"/>
      <c r="E35" s="1163"/>
      <c r="F35" s="1164"/>
      <c r="G35" s="1169">
        <f aca="true" t="shared" si="4" ref="G35:N35">SUM(G31:G34)</f>
        <v>293121300</v>
      </c>
      <c r="H35" s="1169">
        <f t="shared" si="4"/>
        <v>294299700</v>
      </c>
      <c r="I35" s="1169">
        <f t="shared" si="4"/>
        <v>290985900</v>
      </c>
      <c r="J35" s="1169">
        <f aca="true" t="shared" si="5" ref="J35">SUM(J31:J34)</f>
        <v>290985900</v>
      </c>
      <c r="K35" s="1170">
        <f t="shared" si="4"/>
        <v>293121</v>
      </c>
      <c r="L35" s="1170">
        <f t="shared" si="4"/>
        <v>293121</v>
      </c>
      <c r="M35" s="1171">
        <f t="shared" si="4"/>
        <v>294299</v>
      </c>
      <c r="N35" s="1171">
        <f t="shared" si="4"/>
        <v>290986</v>
      </c>
      <c r="O35" s="1172">
        <f aca="true" t="shared" si="6" ref="O35">SUM(O31:O34)</f>
        <v>290986</v>
      </c>
    </row>
    <row r="36" spans="1:15" ht="15">
      <c r="A36" s="1188" t="s">
        <v>614</v>
      </c>
      <c r="B36" s="1189" t="s">
        <v>615</v>
      </c>
      <c r="C36" s="1162"/>
      <c r="D36" s="1162"/>
      <c r="E36" s="1163"/>
      <c r="F36" s="1164"/>
      <c r="G36" s="1158"/>
      <c r="H36" s="1158"/>
      <c r="I36" s="1158"/>
      <c r="J36" s="1158"/>
      <c r="K36" s="1166"/>
      <c r="L36" s="1166"/>
      <c r="M36" s="1158"/>
      <c r="N36" s="1158"/>
      <c r="O36" s="1167"/>
    </row>
    <row r="37" spans="1:15" ht="15">
      <c r="A37" s="1207" t="s">
        <v>616</v>
      </c>
      <c r="B37" s="1174" t="s">
        <v>617</v>
      </c>
      <c r="C37" s="1162">
        <v>549</v>
      </c>
      <c r="D37" s="1162">
        <v>554</v>
      </c>
      <c r="E37" s="1163" t="s">
        <v>578</v>
      </c>
      <c r="F37" s="1164">
        <v>81700</v>
      </c>
      <c r="G37" s="1158">
        <f>C37*F37*8/12</f>
        <v>29902200</v>
      </c>
      <c r="H37" s="1158">
        <f>D37*F37/12*8</f>
        <v>30174533.333333332</v>
      </c>
      <c r="I37" s="1158">
        <f>30174533</f>
        <v>30174533</v>
      </c>
      <c r="J37" s="1158">
        <f>30174533</f>
        <v>30174533</v>
      </c>
      <c r="K37" s="1166">
        <v>29902</v>
      </c>
      <c r="L37" s="1166">
        <v>29902</v>
      </c>
      <c r="M37" s="1158">
        <f>29902+273</f>
        <v>30175</v>
      </c>
      <c r="N37" s="1158">
        <f>29902+273</f>
        <v>30175</v>
      </c>
      <c r="O37" s="1167">
        <f>29902+273</f>
        <v>30175</v>
      </c>
    </row>
    <row r="38" spans="1:15" ht="15">
      <c r="A38" s="1188"/>
      <c r="B38" s="1174" t="s">
        <v>618</v>
      </c>
      <c r="C38" s="1162">
        <v>538</v>
      </c>
      <c r="D38" s="1162">
        <v>538</v>
      </c>
      <c r="E38" s="1163" t="s">
        <v>578</v>
      </c>
      <c r="F38" s="1164">
        <v>81700</v>
      </c>
      <c r="G38" s="1158">
        <f>C38*F38*4/12</f>
        <v>14651533.333333334</v>
      </c>
      <c r="H38" s="1158">
        <f>14651533</f>
        <v>14651533</v>
      </c>
      <c r="I38" s="1158">
        <f>14651533+299567</f>
        <v>14951100</v>
      </c>
      <c r="J38" s="1158">
        <f>14651533+299567</f>
        <v>14951100</v>
      </c>
      <c r="K38" s="1166">
        <v>14652</v>
      </c>
      <c r="L38" s="1166">
        <v>14652</v>
      </c>
      <c r="M38" s="1158">
        <v>14652</v>
      </c>
      <c r="N38" s="1158">
        <f>14652+300</f>
        <v>14952</v>
      </c>
      <c r="O38" s="1167">
        <f>14952-1</f>
        <v>14951</v>
      </c>
    </row>
    <row r="39" spans="1:15" ht="15">
      <c r="A39" s="1207" t="s">
        <v>619</v>
      </c>
      <c r="B39" s="1174" t="s">
        <v>620</v>
      </c>
      <c r="C39" s="1162" t="s">
        <v>605</v>
      </c>
      <c r="D39" s="1162" t="s">
        <v>605</v>
      </c>
      <c r="E39" s="1163"/>
      <c r="F39" s="1164"/>
      <c r="G39" s="1158"/>
      <c r="H39" s="1158"/>
      <c r="I39" s="1158"/>
      <c r="J39" s="1158"/>
      <c r="K39" s="1166"/>
      <c r="L39" s="1166"/>
      <c r="M39" s="1158"/>
      <c r="N39" s="1158"/>
      <c r="O39" s="1167"/>
    </row>
    <row r="40" spans="1:15" ht="15">
      <c r="A40" s="1198" t="s">
        <v>621</v>
      </c>
      <c r="B40" s="1199" t="s">
        <v>622</v>
      </c>
      <c r="C40" s="1162"/>
      <c r="D40" s="1162"/>
      <c r="E40" s="1163"/>
      <c r="F40" s="1164"/>
      <c r="G40" s="1169">
        <f aca="true" t="shared" si="7" ref="G40:N40">SUM(G37:G39)</f>
        <v>44553733.333333336</v>
      </c>
      <c r="H40" s="1169">
        <f t="shared" si="7"/>
        <v>44826066.33333333</v>
      </c>
      <c r="I40" s="1169">
        <f t="shared" si="7"/>
        <v>45125633</v>
      </c>
      <c r="J40" s="1208">
        <f aca="true" t="shared" si="8" ref="J40">SUM(J37:J39)</f>
        <v>45125633</v>
      </c>
      <c r="K40" s="1193">
        <f t="shared" si="7"/>
        <v>44554</v>
      </c>
      <c r="L40" s="1193">
        <f t="shared" si="7"/>
        <v>44554</v>
      </c>
      <c r="M40" s="1169">
        <f t="shared" si="7"/>
        <v>44827</v>
      </c>
      <c r="N40" s="1169">
        <f t="shared" si="7"/>
        <v>45127</v>
      </c>
      <c r="O40" s="1194">
        <f aca="true" t="shared" si="9" ref="O40">SUM(O37:O39)</f>
        <v>45126</v>
      </c>
    </row>
    <row r="41" spans="1:15" ht="15">
      <c r="A41" s="1188" t="s">
        <v>623</v>
      </c>
      <c r="B41" s="1189" t="s">
        <v>624</v>
      </c>
      <c r="C41" s="1162"/>
      <c r="D41" s="1162"/>
      <c r="E41" s="1163"/>
      <c r="F41" s="1164"/>
      <c r="G41" s="1158"/>
      <c r="H41" s="1158"/>
      <c r="I41" s="1158"/>
      <c r="J41" s="1158"/>
      <c r="K41" s="1166"/>
      <c r="L41" s="1166"/>
      <c r="M41" s="1158"/>
      <c r="N41" s="1158"/>
      <c r="O41" s="1167"/>
    </row>
    <row r="42" spans="1:15" ht="15">
      <c r="A42" s="1188"/>
      <c r="B42" s="1174" t="s">
        <v>625</v>
      </c>
      <c r="C42" s="1162">
        <v>22</v>
      </c>
      <c r="D42" s="1162">
        <v>22</v>
      </c>
      <c r="E42" s="1163" t="s">
        <v>578</v>
      </c>
      <c r="F42" s="1164">
        <v>401000</v>
      </c>
      <c r="G42" s="1158">
        <f>C42*F42</f>
        <v>8822000</v>
      </c>
      <c r="H42" s="1158">
        <f>8822000</f>
        <v>8822000</v>
      </c>
      <c r="I42" s="1158">
        <f>8822000</f>
        <v>8822000</v>
      </c>
      <c r="J42" s="1158">
        <f>8822000</f>
        <v>8822000</v>
      </c>
      <c r="K42" s="1166">
        <v>8822</v>
      </c>
      <c r="L42" s="1166">
        <v>8822</v>
      </c>
      <c r="M42" s="1158">
        <v>8822</v>
      </c>
      <c r="N42" s="1158">
        <v>8822</v>
      </c>
      <c r="O42" s="1167">
        <v>8822</v>
      </c>
    </row>
    <row r="43" spans="1:15" ht="15">
      <c r="A43" s="1188"/>
      <c r="B43" s="1209" t="s">
        <v>626</v>
      </c>
      <c r="C43" s="1162">
        <v>6</v>
      </c>
      <c r="D43" s="1162">
        <v>6</v>
      </c>
      <c r="E43" s="1163" t="s">
        <v>578</v>
      </c>
      <c r="F43" s="1164">
        <v>367584</v>
      </c>
      <c r="G43" s="1158">
        <f>C43*F43</f>
        <v>2205504</v>
      </c>
      <c r="H43" s="1158">
        <f>2205504</f>
        <v>2205504</v>
      </c>
      <c r="I43" s="1158">
        <f>2205504</f>
        <v>2205504</v>
      </c>
      <c r="J43" s="1158">
        <f>2205504</f>
        <v>2205504</v>
      </c>
      <c r="K43" s="1397">
        <v>0</v>
      </c>
      <c r="L43" s="1397">
        <v>2205</v>
      </c>
      <c r="M43" s="1398">
        <v>2205</v>
      </c>
      <c r="N43" s="1398">
        <v>2205</v>
      </c>
      <c r="O43" s="1399">
        <v>2205</v>
      </c>
    </row>
    <row r="44" spans="1:15" ht="15">
      <c r="A44" s="1198" t="s">
        <v>623</v>
      </c>
      <c r="B44" s="1199" t="s">
        <v>624</v>
      </c>
      <c r="C44" s="1162"/>
      <c r="D44" s="1162"/>
      <c r="E44" s="1163"/>
      <c r="F44" s="1164"/>
      <c r="G44" s="1169">
        <f aca="true" t="shared" si="10" ref="G44:O44">SUM(G42:G43)</f>
        <v>11027504</v>
      </c>
      <c r="H44" s="1169">
        <f t="shared" si="10"/>
        <v>11027504</v>
      </c>
      <c r="I44" s="1169">
        <f t="shared" si="10"/>
        <v>11027504</v>
      </c>
      <c r="J44" s="1169">
        <f t="shared" si="10"/>
        <v>11027504</v>
      </c>
      <c r="K44" s="1403">
        <f t="shared" si="10"/>
        <v>8822</v>
      </c>
      <c r="L44" s="1403">
        <f t="shared" si="10"/>
        <v>11027</v>
      </c>
      <c r="M44" s="1404">
        <f t="shared" si="10"/>
        <v>11027</v>
      </c>
      <c r="N44" s="1404">
        <f t="shared" si="10"/>
        <v>11027</v>
      </c>
      <c r="O44" s="1405">
        <f t="shared" si="10"/>
        <v>11027</v>
      </c>
    </row>
    <row r="45" spans="1:15" ht="24" customHeight="1">
      <c r="A45" s="1421" t="s">
        <v>627</v>
      </c>
      <c r="B45" s="1206" t="s">
        <v>628</v>
      </c>
      <c r="C45" s="1162"/>
      <c r="D45" s="1162"/>
      <c r="E45" s="1163"/>
      <c r="F45" s="1164"/>
      <c r="G45" s="1202">
        <f aca="true" t="shared" si="11" ref="G45:O45">G35+G40+G44</f>
        <v>348702537.3333333</v>
      </c>
      <c r="H45" s="1202">
        <f t="shared" si="11"/>
        <v>350153270.3333333</v>
      </c>
      <c r="I45" s="1202">
        <f t="shared" si="11"/>
        <v>347139037</v>
      </c>
      <c r="J45" s="1202">
        <f t="shared" si="11"/>
        <v>347139037</v>
      </c>
      <c r="K45" s="1400">
        <f t="shared" si="11"/>
        <v>346497</v>
      </c>
      <c r="L45" s="1400">
        <f t="shared" si="11"/>
        <v>348702</v>
      </c>
      <c r="M45" s="1401">
        <f t="shared" si="11"/>
        <v>350153</v>
      </c>
      <c r="N45" s="1401">
        <f t="shared" si="11"/>
        <v>347140</v>
      </c>
      <c r="O45" s="1402">
        <f t="shared" si="11"/>
        <v>347139</v>
      </c>
    </row>
    <row r="46" spans="1:15" ht="15">
      <c r="A46" s="1210" t="s">
        <v>629</v>
      </c>
      <c r="B46" s="1211" t="s">
        <v>947</v>
      </c>
      <c r="C46" s="1162"/>
      <c r="D46" s="1162"/>
      <c r="E46" s="1163"/>
      <c r="F46" s="1164"/>
      <c r="G46" s="1169">
        <v>15146756</v>
      </c>
      <c r="H46" s="1169">
        <f>15146756+24095558</f>
        <v>39242314</v>
      </c>
      <c r="I46" s="1169">
        <f>39242314+14072681</f>
        <v>53314995</v>
      </c>
      <c r="J46" s="1169">
        <f>53314995+4811629</f>
        <v>58126624</v>
      </c>
      <c r="K46" s="1397">
        <v>0</v>
      </c>
      <c r="L46" s="1406">
        <v>15147</v>
      </c>
      <c r="M46" s="1407">
        <f>15147+24096</f>
        <v>39243</v>
      </c>
      <c r="N46" s="1407">
        <f>39243+14073</f>
        <v>53316</v>
      </c>
      <c r="O46" s="1408">
        <f>53316+4811</f>
        <v>58127</v>
      </c>
    </row>
    <row r="47" spans="1:15" ht="15">
      <c r="A47" s="1207" t="s">
        <v>630</v>
      </c>
      <c r="B47" s="1212" t="s">
        <v>631</v>
      </c>
      <c r="C47" s="1162"/>
      <c r="D47" s="1162"/>
      <c r="E47" s="1163"/>
      <c r="F47" s="1164"/>
      <c r="G47" s="1158"/>
      <c r="H47" s="1158"/>
      <c r="I47" s="1158"/>
      <c r="J47" s="1158"/>
      <c r="K47" s="1397"/>
      <c r="L47" s="1397"/>
      <c r="M47" s="1398"/>
      <c r="N47" s="1398"/>
      <c r="O47" s="1399"/>
    </row>
    <row r="48" spans="1:15" ht="15">
      <c r="A48" s="1188" t="s">
        <v>632</v>
      </c>
      <c r="B48" s="1174" t="s">
        <v>633</v>
      </c>
      <c r="C48" s="1162">
        <v>8.4</v>
      </c>
      <c r="D48" s="1162">
        <v>8.4</v>
      </c>
      <c r="E48" s="1163" t="s">
        <v>578</v>
      </c>
      <c r="F48" s="1164">
        <v>3400000</v>
      </c>
      <c r="G48" s="1158">
        <f>C48*F48</f>
        <v>28560000</v>
      </c>
      <c r="H48" s="1158">
        <f>28560000</f>
        <v>28560000</v>
      </c>
      <c r="I48" s="1158">
        <f>28560000</f>
        <v>28560000</v>
      </c>
      <c r="J48" s="1158">
        <f>28560000</f>
        <v>28560000</v>
      </c>
      <c r="K48" s="1397">
        <v>25200</v>
      </c>
      <c r="L48" s="1397">
        <v>28560</v>
      </c>
      <c r="M48" s="1398">
        <v>28560</v>
      </c>
      <c r="N48" s="1398">
        <v>28560</v>
      </c>
      <c r="O48" s="1399">
        <v>28560</v>
      </c>
    </row>
    <row r="49" spans="1:15" ht="15">
      <c r="A49" s="1188" t="s">
        <v>634</v>
      </c>
      <c r="B49" s="1174" t="s">
        <v>635</v>
      </c>
      <c r="C49" s="1162">
        <v>4.9</v>
      </c>
      <c r="D49" s="1162">
        <v>4.9</v>
      </c>
      <c r="E49" s="1163" t="s">
        <v>578</v>
      </c>
      <c r="F49" s="1164">
        <v>3300000</v>
      </c>
      <c r="G49" s="1158">
        <f>C49*F49</f>
        <v>16170000.000000002</v>
      </c>
      <c r="H49" s="1158">
        <f>16170000</f>
        <v>16170000</v>
      </c>
      <c r="I49" s="1158">
        <f>16170000</f>
        <v>16170000</v>
      </c>
      <c r="J49" s="1158">
        <f>16170000</f>
        <v>16170000</v>
      </c>
      <c r="K49" s="1397">
        <v>14700</v>
      </c>
      <c r="L49" s="1397">
        <v>16170</v>
      </c>
      <c r="M49" s="1398">
        <v>16170</v>
      </c>
      <c r="N49" s="1398">
        <v>16170</v>
      </c>
      <c r="O49" s="1399">
        <v>16170</v>
      </c>
    </row>
    <row r="50" spans="1:15" ht="15">
      <c r="A50" s="1188" t="s">
        <v>636</v>
      </c>
      <c r="B50" s="1174" t="s">
        <v>637</v>
      </c>
      <c r="C50" s="1162">
        <v>65</v>
      </c>
      <c r="D50" s="1162">
        <v>65</v>
      </c>
      <c r="E50" s="1163" t="s">
        <v>578</v>
      </c>
      <c r="F50" s="1164">
        <v>55360</v>
      </c>
      <c r="G50" s="1158">
        <f>C50*F50</f>
        <v>3598400</v>
      </c>
      <c r="H50" s="1158">
        <f>3598400</f>
        <v>3598400</v>
      </c>
      <c r="I50" s="1158">
        <f>3598400</f>
        <v>3598400</v>
      </c>
      <c r="J50" s="1158">
        <f>3598400</f>
        <v>3598400</v>
      </c>
      <c r="K50" s="1397">
        <v>3598</v>
      </c>
      <c r="L50" s="1397">
        <v>3598</v>
      </c>
      <c r="M50" s="1398">
        <v>3598</v>
      </c>
      <c r="N50" s="1398">
        <v>3598</v>
      </c>
      <c r="O50" s="1399">
        <v>3598</v>
      </c>
    </row>
    <row r="51" spans="1:15" ht="15">
      <c r="A51" s="1188"/>
      <c r="B51" s="1189" t="s">
        <v>638</v>
      </c>
      <c r="C51" s="1162"/>
      <c r="D51" s="1162"/>
      <c r="E51" s="1163"/>
      <c r="F51" s="1164" t="s">
        <v>639</v>
      </c>
      <c r="G51" s="1158">
        <f>G50*10%</f>
        <v>359840</v>
      </c>
      <c r="H51" s="1158">
        <f>359840</f>
        <v>359840</v>
      </c>
      <c r="I51" s="1158">
        <f>359840</f>
        <v>359840</v>
      </c>
      <c r="J51" s="1158">
        <f>359840</f>
        <v>359840</v>
      </c>
      <c r="K51" s="1397">
        <v>360</v>
      </c>
      <c r="L51" s="1397">
        <v>360</v>
      </c>
      <c r="M51" s="1398">
        <v>360</v>
      </c>
      <c r="N51" s="1398">
        <v>360</v>
      </c>
      <c r="O51" s="1399">
        <v>360</v>
      </c>
    </row>
    <row r="52" spans="1:15" ht="22.5" customHeight="1">
      <c r="A52" s="1175" t="s">
        <v>640</v>
      </c>
      <c r="B52" s="1204" t="s">
        <v>968</v>
      </c>
      <c r="C52" s="1162">
        <v>3</v>
      </c>
      <c r="D52" s="1162">
        <v>3</v>
      </c>
      <c r="E52" s="1163" t="s">
        <v>578</v>
      </c>
      <c r="F52" s="1164">
        <v>25000</v>
      </c>
      <c r="G52" s="1165">
        <f>C52*F52</f>
        <v>75000</v>
      </c>
      <c r="H52" s="1165">
        <f>75000</f>
        <v>75000</v>
      </c>
      <c r="I52" s="1165">
        <f>75000-75000</f>
        <v>0</v>
      </c>
      <c r="J52" s="1165">
        <f>75000-75000</f>
        <v>0</v>
      </c>
      <c r="K52" s="1397">
        <v>75</v>
      </c>
      <c r="L52" s="1397">
        <v>75</v>
      </c>
      <c r="M52" s="1398">
        <v>75</v>
      </c>
      <c r="N52" s="1398">
        <f>75-75</f>
        <v>0</v>
      </c>
      <c r="O52" s="1399">
        <f>75-75</f>
        <v>0</v>
      </c>
    </row>
    <row r="53" spans="1:15" ht="20.25" customHeight="1">
      <c r="A53" s="1175" t="s">
        <v>641</v>
      </c>
      <c r="B53" s="1204" t="s">
        <v>969</v>
      </c>
      <c r="C53" s="1162">
        <v>20</v>
      </c>
      <c r="D53" s="1162">
        <v>20</v>
      </c>
      <c r="E53" s="1163" t="s">
        <v>578</v>
      </c>
      <c r="F53" s="1164">
        <v>330000</v>
      </c>
      <c r="G53" s="1165">
        <f>C53*F53</f>
        <v>6600000</v>
      </c>
      <c r="H53" s="1165">
        <f>6600000</f>
        <v>6600000</v>
      </c>
      <c r="I53" s="1165">
        <f>6600000</f>
        <v>6600000</v>
      </c>
      <c r="J53" s="1165">
        <f>6600000</f>
        <v>6600000</v>
      </c>
      <c r="K53" s="1397">
        <v>4200</v>
      </c>
      <c r="L53" s="1397">
        <v>6600</v>
      </c>
      <c r="M53" s="1398">
        <v>6600</v>
      </c>
      <c r="N53" s="1398">
        <v>6600</v>
      </c>
      <c r="O53" s="1399">
        <v>6600</v>
      </c>
    </row>
    <row r="54" spans="1:15" ht="19.5" customHeight="1">
      <c r="A54" s="1175"/>
      <c r="B54" s="1203" t="s">
        <v>642</v>
      </c>
      <c r="C54" s="1162"/>
      <c r="D54" s="1162"/>
      <c r="E54" s="1163"/>
      <c r="F54" s="1164" t="s">
        <v>643</v>
      </c>
      <c r="G54" s="1158">
        <f>G53*30%</f>
        <v>1980000</v>
      </c>
      <c r="H54" s="1158">
        <f>1980000</f>
        <v>1980000</v>
      </c>
      <c r="I54" s="1158">
        <f>1980000</f>
        <v>1980000</v>
      </c>
      <c r="J54" s="1158">
        <f>1980000</f>
        <v>1980000</v>
      </c>
      <c r="K54" s="1397">
        <v>1260</v>
      </c>
      <c r="L54" s="1397">
        <v>1980</v>
      </c>
      <c r="M54" s="1398">
        <v>1980</v>
      </c>
      <c r="N54" s="1398">
        <v>1980</v>
      </c>
      <c r="O54" s="1399">
        <v>1980</v>
      </c>
    </row>
    <row r="55" spans="1:15" ht="20.25" customHeight="1">
      <c r="A55" s="1188" t="s">
        <v>644</v>
      </c>
      <c r="B55" s="1206" t="s">
        <v>645</v>
      </c>
      <c r="C55" s="1162"/>
      <c r="D55" s="1162"/>
      <c r="E55" s="1163"/>
      <c r="F55" s="1164"/>
      <c r="G55" s="1158">
        <f aca="true" t="shared" si="12" ref="G55:N55">SUM(G52:G54)</f>
        <v>8655000</v>
      </c>
      <c r="H55" s="1158">
        <f t="shared" si="12"/>
        <v>8655000</v>
      </c>
      <c r="I55" s="1158">
        <f t="shared" si="12"/>
        <v>8580000</v>
      </c>
      <c r="J55" s="1158">
        <f aca="true" t="shared" si="13" ref="J55">SUM(J52:J54)</f>
        <v>8580000</v>
      </c>
      <c r="K55" s="1397">
        <f t="shared" si="12"/>
        <v>5535</v>
      </c>
      <c r="L55" s="1397">
        <f t="shared" si="12"/>
        <v>8655</v>
      </c>
      <c r="M55" s="1398">
        <f t="shared" si="12"/>
        <v>8655</v>
      </c>
      <c r="N55" s="1398">
        <f t="shared" si="12"/>
        <v>8580</v>
      </c>
      <c r="O55" s="1399">
        <f aca="true" t="shared" si="14" ref="O55">SUM(O52:O54)</f>
        <v>8580</v>
      </c>
    </row>
    <row r="56" spans="1:15" ht="18.75" customHeight="1">
      <c r="A56" s="1188" t="s">
        <v>646</v>
      </c>
      <c r="B56" s="1213" t="s">
        <v>647</v>
      </c>
      <c r="C56" s="1162">
        <v>45</v>
      </c>
      <c r="D56" s="1162">
        <v>45</v>
      </c>
      <c r="E56" s="1163" t="s">
        <v>578</v>
      </c>
      <c r="F56" s="1164">
        <v>109000</v>
      </c>
      <c r="G56" s="1158">
        <f>C56*F56</f>
        <v>4905000</v>
      </c>
      <c r="H56" s="1158">
        <f>4905000</f>
        <v>4905000</v>
      </c>
      <c r="I56" s="1158">
        <f>4905000</f>
        <v>4905000</v>
      </c>
      <c r="J56" s="1158">
        <f>4905000</f>
        <v>4905000</v>
      </c>
      <c r="K56" s="1397">
        <v>4905</v>
      </c>
      <c r="L56" s="1397">
        <v>4905</v>
      </c>
      <c r="M56" s="1398">
        <v>4905</v>
      </c>
      <c r="N56" s="1398">
        <v>4905</v>
      </c>
      <c r="O56" s="1399">
        <v>4905</v>
      </c>
    </row>
    <row r="57" spans="1:15" ht="18" customHeight="1">
      <c r="A57" s="1188"/>
      <c r="B57" s="1203" t="s">
        <v>648</v>
      </c>
      <c r="C57" s="1162"/>
      <c r="D57" s="1162"/>
      <c r="E57" s="1163"/>
      <c r="F57" s="1164" t="s">
        <v>649</v>
      </c>
      <c r="G57" s="1158">
        <f>G56*50%</f>
        <v>2452500</v>
      </c>
      <c r="H57" s="1158">
        <f>2452500</f>
        <v>2452500</v>
      </c>
      <c r="I57" s="1158">
        <f>2452500</f>
        <v>2452500</v>
      </c>
      <c r="J57" s="1158">
        <f>2452500</f>
        <v>2452500</v>
      </c>
      <c r="K57" s="1397">
        <v>2452</v>
      </c>
      <c r="L57" s="1397">
        <v>2452</v>
      </c>
      <c r="M57" s="1398">
        <v>2452</v>
      </c>
      <c r="N57" s="1398">
        <v>2452</v>
      </c>
      <c r="O57" s="1399">
        <v>2452</v>
      </c>
    </row>
    <row r="58" spans="1:15" ht="18" customHeight="1">
      <c r="A58" s="1188" t="s">
        <v>650</v>
      </c>
      <c r="B58" s="1204" t="s">
        <v>651</v>
      </c>
      <c r="C58" s="1162">
        <v>32</v>
      </c>
      <c r="D58" s="1162">
        <v>32</v>
      </c>
      <c r="E58" s="1163" t="s">
        <v>578</v>
      </c>
      <c r="F58" s="1164">
        <v>500000</v>
      </c>
      <c r="G58" s="1158">
        <f>C58*F58</f>
        <v>16000000</v>
      </c>
      <c r="H58" s="1158">
        <f>16000000</f>
        <v>16000000</v>
      </c>
      <c r="I58" s="1158">
        <f>16000000</f>
        <v>16000000</v>
      </c>
      <c r="J58" s="1158">
        <f>16000000</f>
        <v>16000000</v>
      </c>
      <c r="K58" s="1397">
        <v>16000</v>
      </c>
      <c r="L58" s="1397">
        <v>16000</v>
      </c>
      <c r="M58" s="1398">
        <v>16000</v>
      </c>
      <c r="N58" s="1398">
        <v>16000</v>
      </c>
      <c r="O58" s="1399">
        <v>16000</v>
      </c>
    </row>
    <row r="59" spans="1:15" ht="16.5" customHeight="1">
      <c r="A59" s="1188"/>
      <c r="B59" s="1203" t="s">
        <v>652</v>
      </c>
      <c r="C59" s="1162"/>
      <c r="D59" s="1162"/>
      <c r="E59" s="1163"/>
      <c r="F59" s="1164" t="s">
        <v>653</v>
      </c>
      <c r="G59" s="1158">
        <f>G58*10%</f>
        <v>1600000</v>
      </c>
      <c r="H59" s="1158">
        <f>1600000</f>
        <v>1600000</v>
      </c>
      <c r="I59" s="1158">
        <f>1600000</f>
        <v>1600000</v>
      </c>
      <c r="J59" s="1158">
        <f>1600000</f>
        <v>1600000</v>
      </c>
      <c r="K59" s="1397">
        <v>1600</v>
      </c>
      <c r="L59" s="1397">
        <v>1600</v>
      </c>
      <c r="M59" s="1398">
        <v>1600</v>
      </c>
      <c r="N59" s="1398">
        <v>1600</v>
      </c>
      <c r="O59" s="1399">
        <v>1600</v>
      </c>
    </row>
    <row r="60" spans="1:15" ht="17.25" customHeight="1">
      <c r="A60" s="1188" t="s">
        <v>654</v>
      </c>
      <c r="B60" s="1204" t="s">
        <v>655</v>
      </c>
      <c r="C60" s="1162">
        <v>35</v>
      </c>
      <c r="D60" s="1162">
        <v>35</v>
      </c>
      <c r="E60" s="1163" t="s">
        <v>578</v>
      </c>
      <c r="F60" s="1164">
        <v>206100</v>
      </c>
      <c r="G60" s="1158">
        <f>C60*F60</f>
        <v>7213500</v>
      </c>
      <c r="H60" s="1158">
        <f>7213500</f>
        <v>7213500</v>
      </c>
      <c r="I60" s="1158">
        <f>7213500</f>
        <v>7213500</v>
      </c>
      <c r="J60" s="1158">
        <f>7213500</f>
        <v>7213500</v>
      </c>
      <c r="K60" s="1397">
        <v>7214</v>
      </c>
      <c r="L60" s="1397">
        <v>7214</v>
      </c>
      <c r="M60" s="1398">
        <v>7214</v>
      </c>
      <c r="N60" s="1398">
        <v>7214</v>
      </c>
      <c r="O60" s="1399">
        <v>7214</v>
      </c>
    </row>
    <row r="61" spans="1:15" ht="36" customHeight="1">
      <c r="A61" s="1188"/>
      <c r="B61" s="1203" t="s">
        <v>656</v>
      </c>
      <c r="C61" s="1162"/>
      <c r="D61" s="1162"/>
      <c r="E61" s="1163"/>
      <c r="F61" s="1164" t="s">
        <v>657</v>
      </c>
      <c r="G61" s="1158">
        <f>G60*20%</f>
        <v>1442700</v>
      </c>
      <c r="H61" s="1158">
        <f>1442700</f>
        <v>1442700</v>
      </c>
      <c r="I61" s="1158">
        <f>1442700</f>
        <v>1442700</v>
      </c>
      <c r="J61" s="1158">
        <f>1442700</f>
        <v>1442700</v>
      </c>
      <c r="K61" s="1397">
        <v>1443</v>
      </c>
      <c r="L61" s="1397">
        <v>1443</v>
      </c>
      <c r="M61" s="1398">
        <v>1443</v>
      </c>
      <c r="N61" s="1398">
        <v>1443</v>
      </c>
      <c r="O61" s="1399">
        <v>1443</v>
      </c>
    </row>
    <row r="62" spans="1:15" ht="18" customHeight="1">
      <c r="A62" s="1188" t="s">
        <v>658</v>
      </c>
      <c r="B62" s="1204" t="s">
        <v>659</v>
      </c>
      <c r="C62" s="1162">
        <v>32</v>
      </c>
      <c r="D62" s="1162">
        <v>32</v>
      </c>
      <c r="E62" s="1163" t="s">
        <v>660</v>
      </c>
      <c r="F62" s="1164">
        <v>490000</v>
      </c>
      <c r="G62" s="1158">
        <f>C62*F62</f>
        <v>15680000</v>
      </c>
      <c r="H62" s="1158">
        <f>15680000</f>
        <v>15680000</v>
      </c>
      <c r="I62" s="1158">
        <f>15680000</f>
        <v>15680000</v>
      </c>
      <c r="J62" s="1158">
        <f>15680000</f>
        <v>15680000</v>
      </c>
      <c r="K62" s="1397">
        <v>14987</v>
      </c>
      <c r="L62" s="1397">
        <v>15680</v>
      </c>
      <c r="M62" s="1398">
        <v>15680</v>
      </c>
      <c r="N62" s="1398">
        <v>15680</v>
      </c>
      <c r="O62" s="1399">
        <v>15680</v>
      </c>
    </row>
    <row r="63" spans="1:15" ht="21" customHeight="1">
      <c r="A63" s="1188"/>
      <c r="B63" s="1203" t="s">
        <v>661</v>
      </c>
      <c r="C63" s="1162"/>
      <c r="D63" s="1162"/>
      <c r="E63" s="1163"/>
      <c r="F63" s="1164" t="s">
        <v>662</v>
      </c>
      <c r="G63" s="1158">
        <f>G62*10%</f>
        <v>1568000</v>
      </c>
      <c r="H63" s="1158">
        <f>1568000</f>
        <v>1568000</v>
      </c>
      <c r="I63" s="1158">
        <f>1568000</f>
        <v>1568000</v>
      </c>
      <c r="J63" s="1158">
        <f>1568000</f>
        <v>1568000</v>
      </c>
      <c r="K63" s="1397">
        <v>1499</v>
      </c>
      <c r="L63" s="1397">
        <v>1568</v>
      </c>
      <c r="M63" s="1398">
        <v>1568</v>
      </c>
      <c r="N63" s="1398">
        <v>1568</v>
      </c>
      <c r="O63" s="1399">
        <v>1568</v>
      </c>
    </row>
    <row r="64" spans="1:15" ht="15.75" customHeight="1">
      <c r="A64" s="1188" t="s">
        <v>663</v>
      </c>
      <c r="B64" s="1204" t="s">
        <v>664</v>
      </c>
      <c r="C64" s="1162">
        <v>1</v>
      </c>
      <c r="D64" s="1162">
        <v>1</v>
      </c>
      <c r="E64" s="1214"/>
      <c r="F64" s="1164">
        <v>4100000</v>
      </c>
      <c r="G64" s="1158">
        <f>C64*F64</f>
        <v>4100000</v>
      </c>
      <c r="H64" s="1158">
        <f>4100000</f>
        <v>4100000</v>
      </c>
      <c r="I64" s="1158">
        <f>4100000</f>
        <v>4100000</v>
      </c>
      <c r="J64" s="1158">
        <f>4100000</f>
        <v>4100000</v>
      </c>
      <c r="K64" s="1397">
        <v>3000</v>
      </c>
      <c r="L64" s="1397">
        <v>4100</v>
      </c>
      <c r="M64" s="1398">
        <v>4100</v>
      </c>
      <c r="N64" s="1398">
        <v>4100</v>
      </c>
      <c r="O64" s="1399">
        <v>4100</v>
      </c>
    </row>
    <row r="65" spans="1:15" ht="16.5" customHeight="1">
      <c r="A65" s="1188"/>
      <c r="B65" s="1204" t="s">
        <v>665</v>
      </c>
      <c r="C65" s="1162">
        <v>2884</v>
      </c>
      <c r="D65" s="1162">
        <v>2884</v>
      </c>
      <c r="E65" s="1196" t="s">
        <v>666</v>
      </c>
      <c r="F65" s="1164">
        <v>1800</v>
      </c>
      <c r="G65" s="1158">
        <f>C65*F65</f>
        <v>5191200</v>
      </c>
      <c r="H65" s="1158">
        <f>5191200</f>
        <v>5191200</v>
      </c>
      <c r="I65" s="1158">
        <f>5191200</f>
        <v>5191200</v>
      </c>
      <c r="J65" s="1158">
        <f>5191200</f>
        <v>5191200</v>
      </c>
      <c r="K65" s="1397">
        <v>5191</v>
      </c>
      <c r="L65" s="1397">
        <v>5191</v>
      </c>
      <c r="M65" s="1398">
        <v>5191</v>
      </c>
      <c r="N65" s="1398">
        <v>5191</v>
      </c>
      <c r="O65" s="1399">
        <v>5191</v>
      </c>
    </row>
    <row r="66" spans="1:15" ht="25.5" customHeight="1">
      <c r="A66" s="1188"/>
      <c r="B66" s="1204" t="s">
        <v>667</v>
      </c>
      <c r="C66" s="1162">
        <v>2485</v>
      </c>
      <c r="D66" s="1162">
        <v>2485</v>
      </c>
      <c r="E66" s="1196" t="s">
        <v>666</v>
      </c>
      <c r="F66" s="1164">
        <v>1800</v>
      </c>
      <c r="G66" s="1158">
        <f>C66*F66</f>
        <v>4473000</v>
      </c>
      <c r="H66" s="1158">
        <f>4473000</f>
        <v>4473000</v>
      </c>
      <c r="I66" s="1158">
        <f>4473000</f>
        <v>4473000</v>
      </c>
      <c r="J66" s="1158">
        <f>4473000</f>
        <v>4473000</v>
      </c>
      <c r="K66" s="1397">
        <v>4473</v>
      </c>
      <c r="L66" s="1397">
        <v>4473</v>
      </c>
      <c r="M66" s="1398">
        <v>4473</v>
      </c>
      <c r="N66" s="1398">
        <v>4473</v>
      </c>
      <c r="O66" s="1399">
        <v>4473</v>
      </c>
    </row>
    <row r="67" spans="1:15" ht="18.75" customHeight="1">
      <c r="A67" s="1188" t="s">
        <v>668</v>
      </c>
      <c r="B67" s="1204" t="s">
        <v>669</v>
      </c>
      <c r="C67" s="1162">
        <v>1</v>
      </c>
      <c r="D67" s="1162">
        <v>1</v>
      </c>
      <c r="E67" s="1215" t="s">
        <v>670</v>
      </c>
      <c r="F67" s="1164">
        <v>3400000</v>
      </c>
      <c r="G67" s="1158">
        <f>C67*F67</f>
        <v>3400000</v>
      </c>
      <c r="H67" s="1158">
        <f>3400000</f>
        <v>3400000</v>
      </c>
      <c r="I67" s="1158">
        <f>3400000</f>
        <v>3400000</v>
      </c>
      <c r="J67" s="1158">
        <f>3400000</f>
        <v>3400000</v>
      </c>
      <c r="K67" s="1397">
        <v>2000</v>
      </c>
      <c r="L67" s="1397">
        <v>3400</v>
      </c>
      <c r="M67" s="1398">
        <v>3400</v>
      </c>
      <c r="N67" s="1398">
        <v>3400</v>
      </c>
      <c r="O67" s="1399">
        <v>3400</v>
      </c>
    </row>
    <row r="68" spans="1:15" ht="20.25" customHeight="1">
      <c r="A68" s="1188"/>
      <c r="B68" s="1204" t="s">
        <v>671</v>
      </c>
      <c r="C68" s="1162">
        <v>40</v>
      </c>
      <c r="D68" s="1162">
        <v>40</v>
      </c>
      <c r="E68" s="1215" t="s">
        <v>672</v>
      </c>
      <c r="F68" s="1164">
        <v>150000</v>
      </c>
      <c r="G68" s="1158">
        <f>C68*F68</f>
        <v>6000000</v>
      </c>
      <c r="H68" s="1158">
        <f>6000000</f>
        <v>6000000</v>
      </c>
      <c r="I68" s="1158">
        <f>6000000</f>
        <v>6000000</v>
      </c>
      <c r="J68" s="1158">
        <f>6000000</f>
        <v>6000000</v>
      </c>
      <c r="K68" s="1397">
        <v>6000</v>
      </c>
      <c r="L68" s="1397">
        <v>6000</v>
      </c>
      <c r="M68" s="1398">
        <v>6000</v>
      </c>
      <c r="N68" s="1398">
        <v>6000</v>
      </c>
      <c r="O68" s="1399">
        <v>6000</v>
      </c>
    </row>
    <row r="69" spans="1:15" ht="33" customHeight="1">
      <c r="A69" s="1188" t="s">
        <v>673</v>
      </c>
      <c r="B69" s="1204" t="s">
        <v>674</v>
      </c>
      <c r="C69" s="1162" t="s">
        <v>675</v>
      </c>
      <c r="D69" s="1162" t="s">
        <v>675</v>
      </c>
      <c r="E69" s="1215"/>
      <c r="F69" s="1164"/>
      <c r="G69" s="1158">
        <v>0</v>
      </c>
      <c r="H69" s="1158">
        <v>6472016</v>
      </c>
      <c r="I69" s="1158">
        <v>6472016</v>
      </c>
      <c r="J69" s="1158">
        <v>6472016</v>
      </c>
      <c r="K69" s="1397">
        <v>0</v>
      </c>
      <c r="L69" s="1397">
        <v>0</v>
      </c>
      <c r="M69" s="1398">
        <v>6472</v>
      </c>
      <c r="N69" s="1398">
        <v>6472</v>
      </c>
      <c r="O69" s="1399">
        <v>6472</v>
      </c>
    </row>
    <row r="70" spans="1:15" ht="15">
      <c r="A70" s="1198" t="s">
        <v>630</v>
      </c>
      <c r="B70" s="1199" t="s">
        <v>676</v>
      </c>
      <c r="C70" s="1162"/>
      <c r="D70" s="1162"/>
      <c r="E70" s="1163"/>
      <c r="F70" s="1164"/>
      <c r="G70" s="1169">
        <f>G48+G49+G50+G51+G55+G56+G57+G58+G59+G60+G61+G62+G63+G64+G65+G66+G67+G68</f>
        <v>131369140</v>
      </c>
      <c r="H70" s="1169">
        <f>H48+H49+H50+H51+H55+H56+H57+H58+H59+H60+H61+H62+H63+H64+H65+H66+H67+H68+H69</f>
        <v>137841156</v>
      </c>
      <c r="I70" s="1169">
        <f>I48+I49+I50+I51+I55+I56+I57+I58+I59+I60+I61+I62+I63+I64+I65+I66+I67+I68+I69</f>
        <v>137766156</v>
      </c>
      <c r="J70" s="1169">
        <f>J48+J49+J50+J51+J55+J56+J57+J58+J59+J60+J61+J62+J63+J64+J65+J66+J67+J68+J69</f>
        <v>137766156</v>
      </c>
      <c r="K70" s="1406">
        <f>K48+K49+K50+K51+K55+K56+K57+K58+K59+K60+K61+K62+K63+K64+K65+K66+K67+K68</f>
        <v>120157</v>
      </c>
      <c r="L70" s="1406">
        <f>L48+L49+L50+L51+L55+L56+L57+L58+L59+L60+L61+L62+L63+L64+L65+L66+L67+L68</f>
        <v>131369</v>
      </c>
      <c r="M70" s="1407">
        <f>M48+M49+M50+M51+M55+M56+M57+M58+M59+M60+M61+M62+M63+M64+M65+M66+M67+M68+M69</f>
        <v>137841</v>
      </c>
      <c r="N70" s="1407">
        <f>N48+N49+N50+N51+N55+N56+N57+N58+N59+N60+N61+N62+N63+N64+N65+N66+N67+N68+N69</f>
        <v>137766</v>
      </c>
      <c r="O70" s="1408">
        <f>O48+O49+O50+O51+O55+O56+O57+O58+O59+O60+O61+O62+O63+O64+O65+O66+O67+O68+O69</f>
        <v>137766</v>
      </c>
    </row>
    <row r="71" spans="1:15" ht="15">
      <c r="A71" s="1216" t="s">
        <v>677</v>
      </c>
      <c r="B71" s="1217" t="s">
        <v>678</v>
      </c>
      <c r="C71" s="1162">
        <v>42</v>
      </c>
      <c r="D71" s="1162">
        <v>42</v>
      </c>
      <c r="E71" s="1163" t="s">
        <v>578</v>
      </c>
      <c r="F71" s="1164">
        <v>2848000</v>
      </c>
      <c r="G71" s="1158">
        <f>C71*F71</f>
        <v>119616000</v>
      </c>
      <c r="H71" s="1158">
        <f>119616000</f>
        <v>119616000</v>
      </c>
      <c r="I71" s="1158">
        <f>119616000</f>
        <v>119616000</v>
      </c>
      <c r="J71" s="1158">
        <f>119616000</f>
        <v>119616000</v>
      </c>
      <c r="K71" s="1397">
        <v>109454</v>
      </c>
      <c r="L71" s="1397">
        <v>119616</v>
      </c>
      <c r="M71" s="1398">
        <v>119616</v>
      </c>
      <c r="N71" s="1398">
        <v>119616</v>
      </c>
      <c r="O71" s="1399">
        <v>119616</v>
      </c>
    </row>
    <row r="72" spans="1:15" ht="15">
      <c r="A72" s="1216" t="s">
        <v>677</v>
      </c>
      <c r="B72" s="1217" t="s">
        <v>679</v>
      </c>
      <c r="C72" s="1218"/>
      <c r="D72" s="1218"/>
      <c r="E72" s="1219"/>
      <c r="F72" s="1220"/>
      <c r="G72" s="1158">
        <v>45890000</v>
      </c>
      <c r="H72" s="1158">
        <f>45890000+5740000</f>
        <v>51630000</v>
      </c>
      <c r="I72" s="1158">
        <f>45890000+5740000</f>
        <v>51630000</v>
      </c>
      <c r="J72" s="1158">
        <f>45890000+5740000</f>
        <v>51630000</v>
      </c>
      <c r="K72" s="1397">
        <v>45807</v>
      </c>
      <c r="L72" s="1397">
        <v>45890</v>
      </c>
      <c r="M72" s="1398">
        <f>45890+5740</f>
        <v>51630</v>
      </c>
      <c r="N72" s="1398">
        <f>45890+5740</f>
        <v>51630</v>
      </c>
      <c r="O72" s="1399">
        <f>45890+5740</f>
        <v>51630</v>
      </c>
    </row>
    <row r="73" spans="1:15" ht="15">
      <c r="A73" s="1198" t="s">
        <v>680</v>
      </c>
      <c r="B73" s="1217" t="s">
        <v>681</v>
      </c>
      <c r="C73" s="1162"/>
      <c r="D73" s="1162"/>
      <c r="E73" s="1163"/>
      <c r="F73" s="1164"/>
      <c r="G73" s="1169">
        <f aca="true" t="shared" si="15" ref="G73:N73">SUM(G71:G72)</f>
        <v>165506000</v>
      </c>
      <c r="H73" s="1169">
        <f t="shared" si="15"/>
        <v>171246000</v>
      </c>
      <c r="I73" s="1169">
        <f t="shared" si="15"/>
        <v>171246000</v>
      </c>
      <c r="J73" s="1169">
        <f aca="true" t="shared" si="16" ref="J73">SUM(J71:J72)</f>
        <v>171246000</v>
      </c>
      <c r="K73" s="1406">
        <f t="shared" si="15"/>
        <v>155261</v>
      </c>
      <c r="L73" s="1406">
        <f t="shared" si="15"/>
        <v>165506</v>
      </c>
      <c r="M73" s="1407">
        <f t="shared" si="15"/>
        <v>171246</v>
      </c>
      <c r="N73" s="1407">
        <f t="shared" si="15"/>
        <v>171246</v>
      </c>
      <c r="O73" s="1408">
        <f aca="true" t="shared" si="17" ref="O73">SUM(O71:O72)</f>
        <v>171246</v>
      </c>
    </row>
    <row r="74" spans="1:15" ht="15">
      <c r="A74" s="1188" t="s">
        <v>682</v>
      </c>
      <c r="B74" s="1189" t="s">
        <v>683</v>
      </c>
      <c r="C74" s="1162"/>
      <c r="D74" s="1162"/>
      <c r="E74" s="1163"/>
      <c r="F74" s="1164"/>
      <c r="G74" s="1158"/>
      <c r="H74" s="1158"/>
      <c r="I74" s="1158"/>
      <c r="J74" s="1158"/>
      <c r="K74" s="1397"/>
      <c r="L74" s="1397"/>
      <c r="M74" s="1398"/>
      <c r="N74" s="1398"/>
      <c r="O74" s="1399"/>
    </row>
    <row r="75" spans="1:15" ht="18" customHeight="1">
      <c r="A75" s="1175" t="s">
        <v>684</v>
      </c>
      <c r="B75" s="1204" t="s">
        <v>685</v>
      </c>
      <c r="C75" s="1162">
        <v>36.51</v>
      </c>
      <c r="D75" s="1221">
        <v>36</v>
      </c>
      <c r="E75" s="1163" t="s">
        <v>686</v>
      </c>
      <c r="F75" s="1164">
        <v>1900000</v>
      </c>
      <c r="G75" s="1158">
        <f>C75*F75</f>
        <v>69369000</v>
      </c>
      <c r="H75" s="1158">
        <f>D75*F75</f>
        <v>68400000</v>
      </c>
      <c r="I75" s="1158">
        <f>68400000+7467000</f>
        <v>75867000</v>
      </c>
      <c r="J75" s="1158">
        <f>68400000+7467000</f>
        <v>75867000</v>
      </c>
      <c r="K75" s="1397">
        <v>69369</v>
      </c>
      <c r="L75" s="1397">
        <v>69369</v>
      </c>
      <c r="M75" s="1398">
        <f>69369-969</f>
        <v>68400</v>
      </c>
      <c r="N75" s="1398">
        <f>68400+7467</f>
        <v>75867</v>
      </c>
      <c r="O75" s="1399">
        <f>68400+7467</f>
        <v>75867</v>
      </c>
    </row>
    <row r="76" spans="1:15" ht="15">
      <c r="A76" s="1175" t="s">
        <v>687</v>
      </c>
      <c r="B76" s="1174" t="s">
        <v>688</v>
      </c>
      <c r="C76" s="1218"/>
      <c r="D76" s="1218"/>
      <c r="E76" s="1219"/>
      <c r="F76" s="1220"/>
      <c r="G76" s="1158">
        <v>72284564</v>
      </c>
      <c r="H76" s="1158">
        <f>72284564+22069665</f>
        <v>94354229</v>
      </c>
      <c r="I76" s="1158">
        <f>72284564+22069665</f>
        <v>94354229</v>
      </c>
      <c r="J76" s="1222">
        <v>76334479</v>
      </c>
      <c r="K76" s="1397">
        <v>62712</v>
      </c>
      <c r="L76" s="1397">
        <v>72285</v>
      </c>
      <c r="M76" s="1398">
        <f>72285+22070</f>
        <v>94355</v>
      </c>
      <c r="N76" s="1398">
        <f>72285+22070</f>
        <v>94355</v>
      </c>
      <c r="O76" s="1399">
        <v>76334</v>
      </c>
    </row>
    <row r="77" spans="1:15" ht="15">
      <c r="A77" s="1198" t="s">
        <v>682</v>
      </c>
      <c r="B77" s="1199" t="s">
        <v>689</v>
      </c>
      <c r="C77" s="1162"/>
      <c r="D77" s="1162"/>
      <c r="E77" s="1163"/>
      <c r="F77" s="1164"/>
      <c r="G77" s="1169">
        <f aca="true" t="shared" si="18" ref="G77:N77">SUM(G75:G76)</f>
        <v>141653564</v>
      </c>
      <c r="H77" s="1169">
        <f t="shared" si="18"/>
        <v>162754229</v>
      </c>
      <c r="I77" s="1169">
        <f t="shared" si="18"/>
        <v>170221229</v>
      </c>
      <c r="J77" s="1169">
        <f aca="true" t="shared" si="19" ref="J77">SUM(J75:J76)</f>
        <v>152201479</v>
      </c>
      <c r="K77" s="1406">
        <f t="shared" si="18"/>
        <v>132081</v>
      </c>
      <c r="L77" s="1406">
        <f t="shared" si="18"/>
        <v>141654</v>
      </c>
      <c r="M77" s="1407">
        <f t="shared" si="18"/>
        <v>162755</v>
      </c>
      <c r="N77" s="1407">
        <f t="shared" si="18"/>
        <v>170222</v>
      </c>
      <c r="O77" s="1408">
        <f aca="true" t="shared" si="20" ref="O77">SUM(O75:O76)</f>
        <v>152201</v>
      </c>
    </row>
    <row r="78" spans="1:15" ht="15">
      <c r="A78" s="1198" t="s">
        <v>690</v>
      </c>
      <c r="B78" s="1174" t="s">
        <v>691</v>
      </c>
      <c r="C78" s="1162">
        <v>2007</v>
      </c>
      <c r="D78" s="1162">
        <v>1998</v>
      </c>
      <c r="E78" s="1163" t="s">
        <v>578</v>
      </c>
      <c r="F78" s="1164">
        <v>285</v>
      </c>
      <c r="G78" s="1169">
        <f>C78*F78</f>
        <v>571995</v>
      </c>
      <c r="H78" s="1169">
        <f>D78*F78</f>
        <v>569430</v>
      </c>
      <c r="I78" s="1169">
        <f>569430-90060</f>
        <v>479370</v>
      </c>
      <c r="J78" s="1169">
        <f>569430-90060</f>
        <v>479370</v>
      </c>
      <c r="K78" s="1397">
        <v>572</v>
      </c>
      <c r="L78" s="1397">
        <v>572</v>
      </c>
      <c r="M78" s="1398">
        <f>572-3</f>
        <v>569</v>
      </c>
      <c r="N78" s="1398">
        <f>569-90</f>
        <v>479</v>
      </c>
      <c r="O78" s="1399">
        <f>569-90</f>
        <v>479</v>
      </c>
    </row>
    <row r="79" spans="1:15" ht="15" customHeight="1">
      <c r="A79" s="1223" t="s">
        <v>692</v>
      </c>
      <c r="B79" s="1224" t="s">
        <v>693</v>
      </c>
      <c r="C79" s="1162">
        <v>4</v>
      </c>
      <c r="D79" s="1162">
        <v>4</v>
      </c>
      <c r="E79" s="1163" t="s">
        <v>578</v>
      </c>
      <c r="F79" s="1164">
        <v>4419000</v>
      </c>
      <c r="G79" s="1158">
        <f>C79*F79</f>
        <v>17676000</v>
      </c>
      <c r="H79" s="1158">
        <f>17676000</f>
        <v>17676000</v>
      </c>
      <c r="I79" s="1158">
        <f>17676000</f>
        <v>17676000</v>
      </c>
      <c r="J79" s="1158">
        <f>17676000</f>
        <v>17676000</v>
      </c>
      <c r="K79" s="1397">
        <v>17676</v>
      </c>
      <c r="L79" s="1397">
        <v>17676</v>
      </c>
      <c r="M79" s="1398">
        <v>17676</v>
      </c>
      <c r="N79" s="1398">
        <v>17676</v>
      </c>
      <c r="O79" s="1399">
        <v>17676</v>
      </c>
    </row>
    <row r="80" spans="1:15" ht="15" customHeight="1">
      <c r="A80" s="1223"/>
      <c r="B80" s="1224" t="s">
        <v>694</v>
      </c>
      <c r="C80" s="1162">
        <v>16.3</v>
      </c>
      <c r="D80" s="1162">
        <v>16.3</v>
      </c>
      <c r="E80" s="1163" t="s">
        <v>578</v>
      </c>
      <c r="F80" s="1164">
        <v>2993000</v>
      </c>
      <c r="G80" s="1158">
        <f>C80*F80</f>
        <v>48785900</v>
      </c>
      <c r="H80" s="1158">
        <f>48785900</f>
        <v>48785900</v>
      </c>
      <c r="I80" s="1158">
        <f>48785900-4190200</f>
        <v>44595700</v>
      </c>
      <c r="J80" s="1158">
        <f>48785900-4190200</f>
        <v>44595700</v>
      </c>
      <c r="K80" s="1397">
        <v>48786</v>
      </c>
      <c r="L80" s="1397">
        <v>48786</v>
      </c>
      <c r="M80" s="1398">
        <v>48786</v>
      </c>
      <c r="N80" s="1398">
        <f>48786-4190</f>
        <v>44596</v>
      </c>
      <c r="O80" s="1399">
        <f>48786-4190</f>
        <v>44596</v>
      </c>
    </row>
    <row r="81" spans="1:15" ht="15" customHeight="1">
      <c r="A81" s="1223" t="s">
        <v>695</v>
      </c>
      <c r="B81" s="1224" t="s">
        <v>696</v>
      </c>
      <c r="C81" s="1637" t="s">
        <v>948</v>
      </c>
      <c r="D81" s="1638"/>
      <c r="E81" s="1638"/>
      <c r="F81" s="1639"/>
      <c r="G81" s="1158">
        <v>0</v>
      </c>
      <c r="H81" s="1158">
        <v>0</v>
      </c>
      <c r="I81" s="1158">
        <v>0</v>
      </c>
      <c r="J81" s="1158">
        <v>0</v>
      </c>
      <c r="K81" s="1397">
        <v>0</v>
      </c>
      <c r="L81" s="1397">
        <v>0</v>
      </c>
      <c r="M81" s="1398">
        <v>0</v>
      </c>
      <c r="N81" s="1398">
        <v>0</v>
      </c>
      <c r="O81" s="1399">
        <v>0</v>
      </c>
    </row>
    <row r="82" spans="1:15" ht="15" customHeight="1">
      <c r="A82" s="1210" t="s">
        <v>697</v>
      </c>
      <c r="B82" s="1225" t="s">
        <v>698</v>
      </c>
      <c r="C82" s="1162"/>
      <c r="D82" s="1162"/>
      <c r="E82" s="1163"/>
      <c r="F82" s="1164"/>
      <c r="G82" s="1169">
        <f>SUM(G79:G81)</f>
        <v>66461900</v>
      </c>
      <c r="H82" s="1169">
        <f>SUM(H79:H81)</f>
        <v>66461900</v>
      </c>
      <c r="I82" s="1169">
        <f>SUM(I79:I81)</f>
        <v>62271700</v>
      </c>
      <c r="J82" s="1169">
        <f>SUM(J79:J81)</f>
        <v>62271700</v>
      </c>
      <c r="K82" s="1403">
        <v>66462</v>
      </c>
      <c r="L82" s="1403">
        <v>66462</v>
      </c>
      <c r="M82" s="1404">
        <v>66462</v>
      </c>
      <c r="N82" s="1404">
        <f>66462-4190</f>
        <v>62272</v>
      </c>
      <c r="O82" s="1405">
        <f>66462-4190</f>
        <v>62272</v>
      </c>
    </row>
    <row r="83" spans="1:15" ht="30.75" customHeight="1">
      <c r="A83" s="1420" t="s">
        <v>699</v>
      </c>
      <c r="B83" s="1225" t="s">
        <v>700</v>
      </c>
      <c r="C83" s="1162"/>
      <c r="D83" s="1162"/>
      <c r="E83" s="1163"/>
      <c r="F83" s="1164"/>
      <c r="G83" s="1202">
        <f aca="true" t="shared" si="21" ref="G83:O83">G46+G70+G73+G77+G78+G82</f>
        <v>520709355</v>
      </c>
      <c r="H83" s="1202">
        <f t="shared" si="21"/>
        <v>578115029</v>
      </c>
      <c r="I83" s="1202">
        <f t="shared" si="21"/>
        <v>595299450</v>
      </c>
      <c r="J83" s="1202">
        <f t="shared" si="21"/>
        <v>582091329</v>
      </c>
      <c r="K83" s="1400">
        <f t="shared" si="21"/>
        <v>474533</v>
      </c>
      <c r="L83" s="1400">
        <f t="shared" si="21"/>
        <v>520710</v>
      </c>
      <c r="M83" s="1401">
        <f t="shared" si="21"/>
        <v>578116</v>
      </c>
      <c r="N83" s="1401">
        <f t="shared" si="21"/>
        <v>595301</v>
      </c>
      <c r="O83" s="1402">
        <f t="shared" si="21"/>
        <v>582091</v>
      </c>
    </row>
    <row r="84" spans="1:15" ht="21" customHeight="1">
      <c r="A84" s="1198" t="s">
        <v>701</v>
      </c>
      <c r="B84" s="1226" t="s">
        <v>702</v>
      </c>
      <c r="C84" s="1162"/>
      <c r="D84" s="1162"/>
      <c r="E84" s="1163"/>
      <c r="F84" s="1164"/>
      <c r="G84" s="1158"/>
      <c r="H84" s="1158"/>
      <c r="I84" s="1158"/>
      <c r="J84" s="1158"/>
      <c r="K84" s="1397"/>
      <c r="L84" s="1397"/>
      <c r="M84" s="1398"/>
      <c r="N84" s="1398"/>
      <c r="O84" s="1399"/>
    </row>
    <row r="85" spans="1:15" ht="27.75" customHeight="1">
      <c r="A85" s="1188" t="s">
        <v>703</v>
      </c>
      <c r="B85" s="1204" t="s">
        <v>949</v>
      </c>
      <c r="C85" s="1218"/>
      <c r="D85" s="1218"/>
      <c r="E85" s="1219"/>
      <c r="F85" s="1220"/>
      <c r="G85" s="1158">
        <v>100500000</v>
      </c>
      <c r="H85" s="1158">
        <v>100500000</v>
      </c>
      <c r="I85" s="1158">
        <v>100500000</v>
      </c>
      <c r="J85" s="1158">
        <v>100500000</v>
      </c>
      <c r="K85" s="1409">
        <v>97200</v>
      </c>
      <c r="L85" s="1409">
        <v>100500</v>
      </c>
      <c r="M85" s="1410">
        <v>100500</v>
      </c>
      <c r="N85" s="1410">
        <v>100500</v>
      </c>
      <c r="O85" s="1411">
        <v>100500</v>
      </c>
    </row>
    <row r="86" spans="1:15" ht="15">
      <c r="A86" s="1188" t="s">
        <v>704</v>
      </c>
      <c r="B86" s="1174" t="s">
        <v>705</v>
      </c>
      <c r="C86" s="1158">
        <v>23343</v>
      </c>
      <c r="D86" s="1158">
        <v>23343</v>
      </c>
      <c r="E86" s="1163" t="s">
        <v>578</v>
      </c>
      <c r="F86" s="1164">
        <v>1210</v>
      </c>
      <c r="G86" s="1158">
        <f>C86*F86</f>
        <v>28245030</v>
      </c>
      <c r="H86" s="1158">
        <f>28245030</f>
        <v>28245030</v>
      </c>
      <c r="I86" s="1158">
        <f>28245030</f>
        <v>28245030</v>
      </c>
      <c r="J86" s="1158">
        <f>28245030</f>
        <v>28245030</v>
      </c>
      <c r="K86" s="1397">
        <v>28245</v>
      </c>
      <c r="L86" s="1397">
        <v>28245</v>
      </c>
      <c r="M86" s="1398">
        <v>28245</v>
      </c>
      <c r="N86" s="1398">
        <v>28245</v>
      </c>
      <c r="O86" s="1399">
        <v>28245</v>
      </c>
    </row>
    <row r="87" spans="1:15" ht="15">
      <c r="A87" s="1188" t="s">
        <v>706</v>
      </c>
      <c r="B87" s="1174" t="s">
        <v>707</v>
      </c>
      <c r="C87" s="1162"/>
      <c r="D87" s="1162"/>
      <c r="E87" s="1163"/>
      <c r="F87" s="1164"/>
      <c r="G87" s="1158"/>
      <c r="H87" s="1158"/>
      <c r="I87" s="1158"/>
      <c r="J87" s="1158"/>
      <c r="K87" s="1397"/>
      <c r="L87" s="1397"/>
      <c r="M87" s="1398"/>
      <c r="N87" s="1398"/>
      <c r="O87" s="1399"/>
    </row>
    <row r="88" spans="1:15" ht="15">
      <c r="A88" s="1210" t="s">
        <v>708</v>
      </c>
      <c r="B88" s="1174" t="s">
        <v>709</v>
      </c>
      <c r="C88" s="1162" t="s">
        <v>710</v>
      </c>
      <c r="D88" s="1162" t="s">
        <v>710</v>
      </c>
      <c r="E88" s="1163"/>
      <c r="F88" s="1164"/>
      <c r="G88" s="1158">
        <v>2807595</v>
      </c>
      <c r="H88" s="1158">
        <f>2807595+4794458</f>
        <v>7602053</v>
      </c>
      <c r="I88" s="1158">
        <f>7602053+2913005</f>
        <v>10515058</v>
      </c>
      <c r="J88" s="1158">
        <f>10515058+987201</f>
        <v>11502259</v>
      </c>
      <c r="K88" s="1397">
        <v>0</v>
      </c>
      <c r="L88" s="1397">
        <v>2808</v>
      </c>
      <c r="M88" s="1398">
        <f>2808+4794</f>
        <v>7602</v>
      </c>
      <c r="N88" s="1398">
        <f>7602+2913</f>
        <v>10515</v>
      </c>
      <c r="O88" s="1399">
        <f>10515+987</f>
        <v>11502</v>
      </c>
    </row>
    <row r="89" spans="1:15" ht="15">
      <c r="A89" s="1420" t="s">
        <v>711</v>
      </c>
      <c r="B89" s="1199" t="s">
        <v>712</v>
      </c>
      <c r="C89" s="1162"/>
      <c r="D89" s="1162"/>
      <c r="E89" s="1163"/>
      <c r="F89" s="1164"/>
      <c r="G89" s="1202">
        <f aca="true" t="shared" si="22" ref="G89:N89">SUM(G85:G88)</f>
        <v>131552625</v>
      </c>
      <c r="H89" s="1202">
        <f t="shared" si="22"/>
        <v>136347083</v>
      </c>
      <c r="I89" s="1202">
        <f t="shared" si="22"/>
        <v>139260088</v>
      </c>
      <c r="J89" s="1202">
        <f aca="true" t="shared" si="23" ref="J89">SUM(J85:J88)</f>
        <v>140247289</v>
      </c>
      <c r="K89" s="1400">
        <f t="shared" si="22"/>
        <v>125445</v>
      </c>
      <c r="L89" s="1400">
        <f t="shared" si="22"/>
        <v>131553</v>
      </c>
      <c r="M89" s="1401">
        <f t="shared" si="22"/>
        <v>136347</v>
      </c>
      <c r="N89" s="1401">
        <f t="shared" si="22"/>
        <v>139260</v>
      </c>
      <c r="O89" s="1402">
        <f aca="true" t="shared" si="24" ref="O89">SUM(O85:O88)</f>
        <v>140247</v>
      </c>
    </row>
    <row r="90" spans="1:15" ht="15">
      <c r="A90" s="1227" t="s">
        <v>713</v>
      </c>
      <c r="B90" s="1212" t="s">
        <v>714</v>
      </c>
      <c r="C90" s="1162"/>
      <c r="D90" s="1162"/>
      <c r="E90" s="1163"/>
      <c r="F90" s="1164"/>
      <c r="G90" s="1158"/>
      <c r="H90" s="1158"/>
      <c r="I90" s="1158"/>
      <c r="J90" s="1158"/>
      <c r="K90" s="1397"/>
      <c r="L90" s="1397"/>
      <c r="M90" s="1398"/>
      <c r="N90" s="1398"/>
      <c r="O90" s="1399"/>
    </row>
    <row r="91" spans="1:15" ht="15">
      <c r="A91" s="1175"/>
      <c r="B91" s="1212" t="s">
        <v>970</v>
      </c>
      <c r="C91" s="1158">
        <v>69364624834</v>
      </c>
      <c r="D91" s="1158">
        <v>69364624834</v>
      </c>
      <c r="E91" s="1163" t="s">
        <v>715</v>
      </c>
      <c r="F91" s="1228">
        <v>0.0055</v>
      </c>
      <c r="G91" s="1158">
        <f>C91*F91</f>
        <v>381505436.58699995</v>
      </c>
      <c r="H91" s="1158">
        <f>381505437</f>
        <v>381505437</v>
      </c>
      <c r="I91" s="1158">
        <f>381505437</f>
        <v>381505437</v>
      </c>
      <c r="J91" s="1158">
        <f>381505437</f>
        <v>381505437</v>
      </c>
      <c r="K91" s="1397">
        <v>381505</v>
      </c>
      <c r="L91" s="1397">
        <v>381505</v>
      </c>
      <c r="M91" s="1398">
        <v>381505</v>
      </c>
      <c r="N91" s="1398">
        <v>381505</v>
      </c>
      <c r="O91" s="1399">
        <v>381505</v>
      </c>
    </row>
    <row r="92" spans="1:15" ht="57" customHeight="1">
      <c r="A92" s="1175"/>
      <c r="B92" s="1229" t="s">
        <v>971</v>
      </c>
      <c r="C92" s="1158">
        <f>G91</f>
        <v>381505436.58699995</v>
      </c>
      <c r="D92" s="1158">
        <f>H91</f>
        <v>381505437</v>
      </c>
      <c r="E92" s="1163"/>
      <c r="F92" s="1228">
        <v>0.9</v>
      </c>
      <c r="G92" s="1158">
        <f>C92*F92</f>
        <v>343354892.92829996</v>
      </c>
      <c r="H92" s="1158">
        <f>343354893</f>
        <v>343354893</v>
      </c>
      <c r="I92" s="1158">
        <f>343354893</f>
        <v>343354893</v>
      </c>
      <c r="J92" s="1158">
        <f>343354893</f>
        <v>343354893</v>
      </c>
      <c r="K92" s="1397"/>
      <c r="L92" s="1397"/>
      <c r="M92" s="1398"/>
      <c r="N92" s="1398"/>
      <c r="O92" s="1399"/>
    </row>
    <row r="93" spans="1:15" ht="36" customHeight="1">
      <c r="A93" s="1420" t="s">
        <v>716</v>
      </c>
      <c r="B93" s="1204" t="s">
        <v>972</v>
      </c>
      <c r="C93" s="1637" t="s">
        <v>717</v>
      </c>
      <c r="D93" s="1638"/>
      <c r="E93" s="1638"/>
      <c r="F93" s="1639"/>
      <c r="G93" s="1230">
        <v>-343354893</v>
      </c>
      <c r="H93" s="1230">
        <v>-343354893</v>
      </c>
      <c r="I93" s="1230">
        <v>-343354893</v>
      </c>
      <c r="J93" s="1230">
        <v>-343354893</v>
      </c>
      <c r="K93" s="1397"/>
      <c r="L93" s="1397"/>
      <c r="M93" s="1398"/>
      <c r="N93" s="1398"/>
      <c r="O93" s="1399"/>
    </row>
    <row r="94" spans="1:15" ht="41.25" customHeight="1" thickBot="1">
      <c r="A94" s="1231"/>
      <c r="B94" s="1232" t="s">
        <v>718</v>
      </c>
      <c r="C94" s="1233"/>
      <c r="D94" s="1233"/>
      <c r="E94" s="1234"/>
      <c r="F94" s="1235"/>
      <c r="G94" s="1236">
        <f aca="true" t="shared" si="25" ref="G94:O94">G29+G45+G83+G89</f>
        <v>1198498114.3333333</v>
      </c>
      <c r="H94" s="1236">
        <f t="shared" si="25"/>
        <v>1262148979.3333333</v>
      </c>
      <c r="I94" s="1236">
        <f t="shared" si="25"/>
        <v>1279232172</v>
      </c>
      <c r="J94" s="1236">
        <f t="shared" si="25"/>
        <v>1267011252</v>
      </c>
      <c r="K94" s="1412">
        <f t="shared" si="25"/>
        <v>1143193</v>
      </c>
      <c r="L94" s="1412">
        <f t="shared" si="25"/>
        <v>1198499</v>
      </c>
      <c r="M94" s="1398">
        <f t="shared" si="25"/>
        <v>1262150</v>
      </c>
      <c r="N94" s="1413">
        <f t="shared" si="25"/>
        <v>1279235</v>
      </c>
      <c r="O94" s="1414">
        <f t="shared" si="25"/>
        <v>1267011</v>
      </c>
    </row>
    <row r="95" spans="1:15" ht="36" customHeight="1" thickTop="1">
      <c r="A95" s="1237"/>
      <c r="B95" s="1238" t="s">
        <v>719</v>
      </c>
      <c r="C95" s="1153"/>
      <c r="D95" s="1153"/>
      <c r="E95" s="1154"/>
      <c r="F95" s="1155"/>
      <c r="G95" s="1156">
        <v>0</v>
      </c>
      <c r="H95" s="1156">
        <v>0</v>
      </c>
      <c r="I95" s="1156">
        <v>0</v>
      </c>
      <c r="J95" s="1156">
        <v>0</v>
      </c>
      <c r="K95" s="1415">
        <v>0</v>
      </c>
      <c r="L95" s="1415">
        <v>0</v>
      </c>
      <c r="M95" s="1398">
        <v>0</v>
      </c>
      <c r="N95" s="1416">
        <v>0</v>
      </c>
      <c r="O95" s="1417">
        <v>0</v>
      </c>
    </row>
    <row r="96" spans="1:15" ht="24" customHeight="1">
      <c r="A96" s="1239"/>
      <c r="B96" s="1419" t="s">
        <v>720</v>
      </c>
      <c r="C96" s="1240"/>
      <c r="D96" s="1240"/>
      <c r="E96" s="1241"/>
      <c r="F96" s="1242"/>
      <c r="G96" s="1243">
        <f aca="true" t="shared" si="26" ref="G96:N96">SUM(G94:G95)</f>
        <v>1198498114.3333333</v>
      </c>
      <c r="H96" s="1243">
        <f t="shared" si="26"/>
        <v>1262148979.3333333</v>
      </c>
      <c r="I96" s="1243">
        <f t="shared" si="26"/>
        <v>1279232172</v>
      </c>
      <c r="J96" s="1243">
        <f aca="true" t="shared" si="27" ref="J96">SUM(J94:J95)</f>
        <v>1267011252</v>
      </c>
      <c r="K96" s="1418">
        <f t="shared" si="26"/>
        <v>1143193</v>
      </c>
      <c r="L96" s="1418">
        <f t="shared" si="26"/>
        <v>1198499</v>
      </c>
      <c r="M96" s="1398">
        <f t="shared" si="26"/>
        <v>1262150</v>
      </c>
      <c r="N96" s="1398">
        <f t="shared" si="26"/>
        <v>1279235</v>
      </c>
      <c r="O96" s="1399">
        <f aca="true" t="shared" si="28" ref="O96">SUM(O94:O95)</f>
        <v>1267011</v>
      </c>
    </row>
    <row r="97" spans="1:15" ht="19.5" customHeight="1">
      <c r="A97" s="1244"/>
      <c r="B97" s="1245" t="s">
        <v>721</v>
      </c>
      <c r="C97" s="1162"/>
      <c r="D97" s="1162"/>
      <c r="E97" s="1163"/>
      <c r="F97" s="1164"/>
      <c r="G97" s="1158">
        <v>1187006</v>
      </c>
      <c r="H97" s="1158">
        <f>1187006+2918085</f>
        <v>4105091</v>
      </c>
      <c r="I97" s="1158">
        <f>4105091+1618642</f>
        <v>5723733</v>
      </c>
      <c r="J97" s="1158">
        <f>5723733+514095</f>
        <v>6237828</v>
      </c>
      <c r="K97" s="1398"/>
      <c r="L97" s="1397">
        <v>1187</v>
      </c>
      <c r="M97" s="1398">
        <f>1187+2918</f>
        <v>4105</v>
      </c>
      <c r="N97" s="1398">
        <f>4105+1619</f>
        <v>5724</v>
      </c>
      <c r="O97" s="1399">
        <f>5724+514</f>
        <v>6238</v>
      </c>
    </row>
    <row r="98" spans="1:15" ht="18" customHeight="1">
      <c r="A98" s="1244"/>
      <c r="B98" s="1245" t="s">
        <v>891</v>
      </c>
      <c r="C98" s="1162"/>
      <c r="D98" s="1162"/>
      <c r="E98" s="1163"/>
      <c r="F98" s="1164"/>
      <c r="G98" s="1158"/>
      <c r="H98" s="1158"/>
      <c r="I98" s="1158">
        <v>4599000</v>
      </c>
      <c r="J98" s="1158">
        <v>4599000</v>
      </c>
      <c r="K98" s="1398"/>
      <c r="L98" s="1397"/>
      <c r="M98" s="1398"/>
      <c r="N98" s="1398">
        <v>4599</v>
      </c>
      <c r="O98" s="1399">
        <v>4599</v>
      </c>
    </row>
    <row r="99" spans="1:15" ht="31.5" customHeight="1">
      <c r="A99" s="1244"/>
      <c r="B99" s="1246" t="s">
        <v>950</v>
      </c>
      <c r="C99" s="1153"/>
      <c r="D99" s="1153"/>
      <c r="E99" s="1154"/>
      <c r="F99" s="1155"/>
      <c r="G99" s="1156"/>
      <c r="H99" s="1156"/>
      <c r="I99" s="1156"/>
      <c r="J99" s="1156">
        <v>1780000</v>
      </c>
      <c r="K99" s="1416"/>
      <c r="L99" s="1415"/>
      <c r="M99" s="1416"/>
      <c r="N99" s="1416">
        <v>0</v>
      </c>
      <c r="O99" s="1417">
        <v>1780</v>
      </c>
    </row>
    <row r="100" spans="1:15" ht="18" customHeight="1">
      <c r="A100" s="1244"/>
      <c r="B100" s="1245" t="s">
        <v>869</v>
      </c>
      <c r="C100" s="1162"/>
      <c r="D100" s="1162"/>
      <c r="E100" s="1163"/>
      <c r="F100" s="1164"/>
      <c r="G100" s="1158"/>
      <c r="H100" s="1158"/>
      <c r="I100" s="1158"/>
      <c r="J100" s="1158"/>
      <c r="K100" s="1398"/>
      <c r="L100" s="1397"/>
      <c r="M100" s="1398"/>
      <c r="N100" s="1398">
        <v>28000</v>
      </c>
      <c r="O100" s="1399"/>
    </row>
    <row r="101" spans="1:15" ht="18" customHeight="1">
      <c r="A101" s="1244"/>
      <c r="B101" s="1245" t="s">
        <v>951</v>
      </c>
      <c r="C101" s="1162"/>
      <c r="D101" s="1162"/>
      <c r="E101" s="1163"/>
      <c r="F101" s="1164"/>
      <c r="G101" s="1158"/>
      <c r="H101" s="1158"/>
      <c r="I101" s="1158"/>
      <c r="J101" s="1158">
        <v>7272000</v>
      </c>
      <c r="K101" s="1158"/>
      <c r="L101" s="1166"/>
      <c r="M101" s="1158"/>
      <c r="N101" s="1158"/>
      <c r="O101" s="1167">
        <v>7272</v>
      </c>
    </row>
    <row r="102" spans="1:15" ht="16.5" customHeight="1">
      <c r="A102" s="1244"/>
      <c r="B102" s="1245" t="s">
        <v>952</v>
      </c>
      <c r="C102" s="1162"/>
      <c r="D102" s="1162"/>
      <c r="E102" s="1163"/>
      <c r="F102" s="1164"/>
      <c r="G102" s="1158"/>
      <c r="H102" s="1158"/>
      <c r="I102" s="1158"/>
      <c r="J102" s="1158">
        <v>25385000</v>
      </c>
      <c r="K102" s="1158"/>
      <c r="L102" s="1166"/>
      <c r="M102" s="1158"/>
      <c r="N102" s="1158"/>
      <c r="O102" s="1167">
        <v>25385</v>
      </c>
    </row>
    <row r="103" spans="1:15" ht="16.5" customHeight="1">
      <c r="A103" s="1244"/>
      <c r="B103" s="1247" t="s">
        <v>953</v>
      </c>
      <c r="C103" s="1240"/>
      <c r="D103" s="1240"/>
      <c r="E103" s="1241"/>
      <c r="F103" s="1242"/>
      <c r="G103" s="1248"/>
      <c r="H103" s="1248"/>
      <c r="I103" s="1248"/>
      <c r="J103" s="1248">
        <v>17649591</v>
      </c>
      <c r="K103" s="1248"/>
      <c r="L103" s="1249"/>
      <c r="M103" s="1248"/>
      <c r="N103" s="1248"/>
      <c r="O103" s="1250">
        <v>17650</v>
      </c>
    </row>
    <row r="104" spans="1:15" ht="21.75" customHeight="1" thickBot="1">
      <c r="A104" s="1244"/>
      <c r="B104" s="1251" t="s">
        <v>722</v>
      </c>
      <c r="C104" s="1252"/>
      <c r="D104" s="1252"/>
      <c r="E104" s="1253"/>
      <c r="F104" s="1254"/>
      <c r="G104" s="1255"/>
      <c r="H104" s="1255"/>
      <c r="I104" s="1255"/>
      <c r="J104" s="1255">
        <f>SUM(J96:J103)</f>
        <v>1329934671</v>
      </c>
      <c r="K104" s="1255">
        <f>SUM(K96:K100)</f>
        <v>1143193</v>
      </c>
      <c r="L104" s="1256"/>
      <c r="M104" s="1255"/>
      <c r="N104" s="1257">
        <f>SUM(N96:N100)</f>
        <v>1317558</v>
      </c>
      <c r="O104" s="1258">
        <f>SUM(O96:O103)</f>
        <v>1329935</v>
      </c>
    </row>
    <row r="105" spans="1:15" ht="16.5" customHeight="1">
      <c r="A105" s="1244"/>
      <c r="B105" s="1245" t="s">
        <v>954</v>
      </c>
      <c r="C105" s="1162"/>
      <c r="D105" s="1162"/>
      <c r="E105" s="1163"/>
      <c r="F105" s="1164"/>
      <c r="G105" s="1158"/>
      <c r="H105" s="1158"/>
      <c r="I105" s="1158"/>
      <c r="J105" s="1158">
        <v>2170000</v>
      </c>
      <c r="K105" s="1158"/>
      <c r="L105" s="1166"/>
      <c r="M105" s="1158"/>
      <c r="N105" s="1158">
        <v>2170</v>
      </c>
      <c r="O105" s="1167">
        <v>2170</v>
      </c>
    </row>
    <row r="106" spans="1:15" ht="31.5" customHeight="1">
      <c r="A106" s="1244"/>
      <c r="B106" s="1259" t="s">
        <v>955</v>
      </c>
      <c r="C106" s="1162"/>
      <c r="D106" s="1162"/>
      <c r="E106" s="1163"/>
      <c r="F106" s="1164"/>
      <c r="G106" s="1158"/>
      <c r="H106" s="1158"/>
      <c r="I106" s="1158"/>
      <c r="J106" s="1158">
        <v>299700000</v>
      </c>
      <c r="K106" s="1158"/>
      <c r="L106" s="1166"/>
      <c r="M106" s="1158"/>
      <c r="N106" s="1158">
        <v>299700</v>
      </c>
      <c r="O106" s="1167">
        <v>299700</v>
      </c>
    </row>
    <row r="107" spans="1:15" ht="18.75" customHeight="1">
      <c r="A107" s="1244"/>
      <c r="B107" s="1245" t="s">
        <v>956</v>
      </c>
      <c r="C107" s="1162"/>
      <c r="D107" s="1162"/>
      <c r="E107" s="1163"/>
      <c r="F107" s="1164"/>
      <c r="G107" s="1158"/>
      <c r="H107" s="1158"/>
      <c r="I107" s="1158"/>
      <c r="J107" s="1158">
        <v>2500000</v>
      </c>
      <c r="K107" s="1158"/>
      <c r="L107" s="1166"/>
      <c r="M107" s="1158"/>
      <c r="N107" s="1158"/>
      <c r="O107" s="1167">
        <v>2500</v>
      </c>
    </row>
    <row r="108" spans="1:15" ht="21.75" customHeight="1" thickBot="1">
      <c r="A108" s="1260"/>
      <c r="B108" s="1261" t="s">
        <v>723</v>
      </c>
      <c r="C108" s="1233"/>
      <c r="D108" s="1233"/>
      <c r="E108" s="1234"/>
      <c r="F108" s="1235"/>
      <c r="G108" s="1236"/>
      <c r="H108" s="1236"/>
      <c r="I108" s="1236"/>
      <c r="J108" s="1236">
        <f>SUM(J105:J107)</f>
        <v>304370000</v>
      </c>
      <c r="K108" s="1262">
        <f aca="true" t="shared" si="29" ref="K108:M108">SUM(K105:K106)</f>
        <v>0</v>
      </c>
      <c r="L108" s="1262">
        <f t="shared" si="29"/>
        <v>0</v>
      </c>
      <c r="M108" s="1262">
        <f t="shared" si="29"/>
        <v>0</v>
      </c>
      <c r="N108" s="1262">
        <f>SUM(N105:N106)</f>
        <v>301870</v>
      </c>
      <c r="O108" s="1263">
        <f>SUM(O105:O107)</f>
        <v>304370</v>
      </c>
    </row>
    <row r="109" ht="16.5" thickTop="1"/>
    <row r="110" spans="1:2" ht="15">
      <c r="A110" s="1264"/>
      <c r="B110" s="1265"/>
    </row>
    <row r="111" spans="1:14" ht="15">
      <c r="A111" s="1264"/>
      <c r="B111" s="1265"/>
      <c r="G111" s="1266"/>
      <c r="H111" s="1266"/>
      <c r="I111" s="1266"/>
      <c r="J111" s="1266"/>
      <c r="K111" s="1266"/>
      <c r="L111" s="1141"/>
      <c r="M111" s="1141"/>
      <c r="N111" s="1141"/>
    </row>
    <row r="112" spans="2:5" ht="15">
      <c r="B112" s="1265"/>
      <c r="E112" s="1142" t="s">
        <v>724</v>
      </c>
    </row>
    <row r="113" ht="15">
      <c r="B113" s="1267" t="s">
        <v>725</v>
      </c>
    </row>
    <row r="114" spans="1:15" s="1144" customFormat="1" ht="16.5" thickBot="1">
      <c r="A114" s="1141"/>
      <c r="B114" s="1267" t="s">
        <v>726</v>
      </c>
      <c r="C114" s="1141"/>
      <c r="D114" s="1141"/>
      <c r="E114" s="1142"/>
      <c r="F114" s="1143"/>
      <c r="O114" s="1141"/>
    </row>
    <row r="115" spans="1:15" s="1144" customFormat="1" ht="16.5" thickBot="1">
      <c r="A115" s="1141"/>
      <c r="B115" s="1268" t="s">
        <v>727</v>
      </c>
      <c r="C115" s="1141"/>
      <c r="D115" s="1141"/>
      <c r="E115" s="1142"/>
      <c r="F115" s="1269">
        <v>343354892.92829996</v>
      </c>
      <c r="O115" s="1141"/>
    </row>
    <row r="116" spans="1:15" s="1144" customFormat="1" ht="15">
      <c r="A116" s="1141"/>
      <c r="B116" s="1270" t="s">
        <v>595</v>
      </c>
      <c r="C116" s="1158">
        <f>G21</f>
        <v>63026100</v>
      </c>
      <c r="D116" s="1158">
        <v>63026100</v>
      </c>
      <c r="E116" s="1163"/>
      <c r="F116" s="1156">
        <v>280328792.92829996</v>
      </c>
      <c r="O116" s="1141"/>
    </row>
    <row r="117" spans="1:15" s="1144" customFormat="1" ht="15">
      <c r="A117" s="1141"/>
      <c r="B117" s="1270" t="s">
        <v>596</v>
      </c>
      <c r="C117" s="1158">
        <f>G23</f>
        <v>1762050</v>
      </c>
      <c r="D117" s="1158">
        <v>1762050</v>
      </c>
      <c r="E117" s="1163"/>
      <c r="F117" s="1158">
        <v>278566742.92829996</v>
      </c>
      <c r="O117" s="1141"/>
    </row>
    <row r="118" spans="1:15" s="1144" customFormat="1" ht="15">
      <c r="A118" s="1141"/>
      <c r="B118" s="1270" t="s">
        <v>583</v>
      </c>
      <c r="C118" s="1158">
        <f>G12</f>
        <v>38025960</v>
      </c>
      <c r="D118" s="1158">
        <v>38025960</v>
      </c>
      <c r="E118" s="1163"/>
      <c r="F118" s="1158">
        <v>240540782.92829996</v>
      </c>
      <c r="O118" s="1141"/>
    </row>
    <row r="119" spans="1:15" s="1144" customFormat="1" ht="15">
      <c r="A119" s="1141"/>
      <c r="B119" s="1270" t="s">
        <v>586</v>
      </c>
      <c r="C119" s="1158">
        <f>G14</f>
        <v>83440000</v>
      </c>
      <c r="D119" s="1158">
        <v>83440000</v>
      </c>
      <c r="E119" s="1163"/>
      <c r="F119" s="1158">
        <v>157100782.92829996</v>
      </c>
      <c r="O119" s="1141"/>
    </row>
    <row r="120" spans="1:15" s="1144" customFormat="1" ht="15">
      <c r="A120" s="1141"/>
      <c r="B120" s="1270" t="s">
        <v>589</v>
      </c>
      <c r="C120" s="1158">
        <f>G16</f>
        <v>13458016</v>
      </c>
      <c r="D120" s="1158">
        <v>13458016</v>
      </c>
      <c r="E120" s="1163"/>
      <c r="F120" s="1158">
        <v>143642766.92829996</v>
      </c>
      <c r="O120" s="1141"/>
    </row>
    <row r="121" spans="1:15" s="1144" customFormat="1" ht="15">
      <c r="A121" s="1141"/>
      <c r="B121" s="1270" t="s">
        <v>592</v>
      </c>
      <c r="C121" s="1158">
        <f>G18</f>
        <v>30210950</v>
      </c>
      <c r="D121" s="1158">
        <v>30210950</v>
      </c>
      <c r="E121" s="1163"/>
      <c r="F121" s="1158">
        <v>113431816.92829996</v>
      </c>
      <c r="O121" s="1141"/>
    </row>
    <row r="122" spans="1:15" s="1144" customFormat="1" ht="15">
      <c r="A122" s="1141"/>
      <c r="B122" s="1270" t="s">
        <v>598</v>
      </c>
      <c r="C122" s="1158">
        <f>G25</f>
        <v>43044000</v>
      </c>
      <c r="D122" s="1158">
        <v>43044000</v>
      </c>
      <c r="E122" s="1163"/>
      <c r="F122" s="1158">
        <v>70387816.92829996</v>
      </c>
      <c r="O122" s="1141"/>
    </row>
    <row r="123" spans="1:15" s="1144" customFormat="1" ht="15">
      <c r="A123" s="1141"/>
      <c r="B123" s="1270" t="s">
        <v>577</v>
      </c>
      <c r="C123" s="1158">
        <v>70387817</v>
      </c>
      <c r="D123" s="1158">
        <v>70387817</v>
      </c>
      <c r="E123" s="1163"/>
      <c r="F123" s="1158">
        <v>-0.07170003652572632</v>
      </c>
      <c r="O123" s="1141"/>
    </row>
    <row r="124" spans="1:15" s="1144" customFormat="1" ht="15">
      <c r="A124" s="1141"/>
      <c r="B124" s="1265"/>
      <c r="C124" s="1141"/>
      <c r="D124" s="1141"/>
      <c r="E124" s="1142"/>
      <c r="F124" s="1143"/>
      <c r="O124" s="1141"/>
    </row>
    <row r="126" ht="15">
      <c r="B126" s="1423" t="s">
        <v>995</v>
      </c>
    </row>
    <row r="127" ht="15">
      <c r="B127" s="1423" t="s">
        <v>996</v>
      </c>
    </row>
    <row r="128" ht="15">
      <c r="B128" s="1423" t="s">
        <v>997</v>
      </c>
    </row>
    <row r="129" ht="15">
      <c r="B129" s="1423" t="s">
        <v>998</v>
      </c>
    </row>
    <row r="130" ht="15">
      <c r="B130" s="1423" t="s">
        <v>999</v>
      </c>
    </row>
  </sheetData>
  <mergeCells count="13">
    <mergeCell ref="D6:E6"/>
    <mergeCell ref="C81:F81"/>
    <mergeCell ref="C93:F93"/>
    <mergeCell ref="A2:O2"/>
    <mergeCell ref="A3:O3"/>
    <mergeCell ref="A5:A6"/>
    <mergeCell ref="B5:B6"/>
    <mergeCell ref="C5:G5"/>
    <mergeCell ref="K5:K6"/>
    <mergeCell ref="L5:L6"/>
    <mergeCell ref="M5:M6"/>
    <mergeCell ref="N5:N6"/>
    <mergeCell ref="O5:O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headerFooter>
    <oddHeader>&amp;L&amp;"Times New Roman,Normál"&amp;8 15. melléklet 1,2,3,4</oddHead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9"/>
  <sheetViews>
    <sheetView view="pageLayout" workbookViewId="0" topLeftCell="A58">
      <selection activeCell="A74" sqref="A74:XFD74"/>
    </sheetView>
  </sheetViews>
  <sheetFormatPr defaultColWidth="9.140625" defaultRowHeight="15"/>
  <cols>
    <col min="1" max="1" width="65.140625" style="51" bestFit="1" customWidth="1"/>
    <col min="2" max="2" width="10.140625" style="46" bestFit="1" customWidth="1"/>
    <col min="3" max="4" width="11.28125" style="46" bestFit="1" customWidth="1"/>
    <col min="5" max="5" width="59.7109375" style="51" bestFit="1" customWidth="1"/>
    <col min="6" max="6" width="10.7109375" style="46" customWidth="1"/>
    <col min="7" max="8" width="11.28125" style="46" bestFit="1" customWidth="1"/>
    <col min="9" max="16384" width="9.140625" style="46" customWidth="1"/>
  </cols>
  <sheetData>
    <row r="1" spans="1:8" s="50" customFormat="1" ht="15" customHeight="1">
      <c r="A1" s="1431" t="s">
        <v>57</v>
      </c>
      <c r="B1" s="1431"/>
      <c r="C1" s="1431"/>
      <c r="D1" s="1431"/>
      <c r="E1" s="1431"/>
      <c r="F1" s="1431"/>
      <c r="G1" s="1431"/>
      <c r="H1" s="1431"/>
    </row>
    <row r="2" ht="15.75" thickBot="1"/>
    <row r="3" spans="1:8" ht="15">
      <c r="A3" s="1432" t="s">
        <v>1</v>
      </c>
      <c r="B3" s="1433"/>
      <c r="C3" s="1433"/>
      <c r="D3" s="1434"/>
      <c r="E3" s="1435" t="s">
        <v>2</v>
      </c>
      <c r="F3" s="1433"/>
      <c r="G3" s="1433"/>
      <c r="H3" s="1434"/>
    </row>
    <row r="4" spans="1:8" ht="29.25" thickBot="1">
      <c r="A4" s="52" t="s">
        <v>3</v>
      </c>
      <c r="B4" s="53" t="s">
        <v>4</v>
      </c>
      <c r="C4" s="802" t="s">
        <v>915</v>
      </c>
      <c r="D4" s="991" t="s">
        <v>937</v>
      </c>
      <c r="E4" s="54" t="s">
        <v>3</v>
      </c>
      <c r="F4" s="55" t="s">
        <v>4</v>
      </c>
      <c r="G4" s="1064" t="s">
        <v>915</v>
      </c>
      <c r="H4" s="991" t="s">
        <v>937</v>
      </c>
    </row>
    <row r="5" spans="1:8" ht="15">
      <c r="A5" s="56" t="s">
        <v>6</v>
      </c>
      <c r="B5" s="57">
        <f>'3. melléklet'!K5</f>
        <v>1143193</v>
      </c>
      <c r="C5" s="57">
        <f>'3. melléklet'!L5</f>
        <v>1619428</v>
      </c>
      <c r="D5" s="58">
        <f>'3. melléklet'!M5</f>
        <v>1634305</v>
      </c>
      <c r="E5" s="59" t="s">
        <v>7</v>
      </c>
      <c r="F5" s="60">
        <f>'4. melléklet'!M6</f>
        <v>1427857</v>
      </c>
      <c r="G5" s="60">
        <f>'4. melléklet'!N6</f>
        <v>1714818</v>
      </c>
      <c r="H5" s="61">
        <f>'4. melléklet'!O6</f>
        <v>1557975</v>
      </c>
    </row>
    <row r="6" spans="1:8" ht="15">
      <c r="A6" s="62"/>
      <c r="B6" s="63"/>
      <c r="C6" s="63"/>
      <c r="D6" s="64"/>
      <c r="E6" s="65"/>
      <c r="F6" s="66"/>
      <c r="G6" s="66"/>
      <c r="H6" s="67"/>
    </row>
    <row r="7" spans="1:8" ht="15">
      <c r="A7" s="62" t="s">
        <v>8</v>
      </c>
      <c r="B7" s="92">
        <f>SUM(B8:B9)</f>
        <v>218119</v>
      </c>
      <c r="C7" s="92">
        <f aca="true" t="shared" si="0" ref="C7:D7">SUM(C8:C9)</f>
        <v>977330</v>
      </c>
      <c r="D7" s="93">
        <f t="shared" si="0"/>
        <v>951929</v>
      </c>
      <c r="E7" s="2" t="s">
        <v>10</v>
      </c>
      <c r="F7" s="66">
        <f>'4. melléklet'!M7</f>
        <v>297493</v>
      </c>
      <c r="G7" s="66">
        <f>'4. melléklet'!N7</f>
        <v>361608</v>
      </c>
      <c r="H7" s="67">
        <f>'4. melléklet'!O7</f>
        <v>340236</v>
      </c>
    </row>
    <row r="8" spans="1:8" s="960" customFormat="1" ht="15">
      <c r="A8" s="956" t="s">
        <v>799</v>
      </c>
      <c r="B8" s="957">
        <f>'3. melléklet'!K9</f>
        <v>0</v>
      </c>
      <c r="C8" s="957">
        <f>'3. melléklet'!L9</f>
        <v>0</v>
      </c>
      <c r="D8" s="958">
        <f>'3. melléklet'!M9</f>
        <v>0</v>
      </c>
      <c r="E8" s="959"/>
      <c r="F8" s="812"/>
      <c r="G8" s="812"/>
      <c r="H8" s="813"/>
    </row>
    <row r="9" spans="1:8" ht="15">
      <c r="A9" s="48" t="s">
        <v>9</v>
      </c>
      <c r="B9" s="47">
        <f>'3. melléklet'!K10</f>
        <v>218119</v>
      </c>
      <c r="C9" s="47">
        <f>'3. melléklet'!L10</f>
        <v>977330</v>
      </c>
      <c r="D9" s="49">
        <f>'3. melléklet'!M10</f>
        <v>951929</v>
      </c>
      <c r="E9" s="65" t="s">
        <v>13</v>
      </c>
      <c r="F9" s="66">
        <f>'4. melléklet'!M8</f>
        <v>2059727</v>
      </c>
      <c r="G9" s="66">
        <f>'4. melléklet'!N8</f>
        <v>2687765</v>
      </c>
      <c r="H9" s="67">
        <f>'4. melléklet'!O8</f>
        <v>2149019</v>
      </c>
    </row>
    <row r="10" spans="1:8" ht="15">
      <c r="A10" s="62"/>
      <c r="B10" s="63"/>
      <c r="C10" s="63"/>
      <c r="D10" s="64"/>
      <c r="E10" s="65"/>
      <c r="F10" s="66"/>
      <c r="G10" s="66"/>
      <c r="H10" s="67"/>
    </row>
    <row r="11" spans="1:8" ht="15">
      <c r="A11" s="62" t="s">
        <v>12</v>
      </c>
      <c r="B11" s="92">
        <f aca="true" t="shared" si="1" ref="B11">SUM(B12:B16)</f>
        <v>2045000</v>
      </c>
      <c r="C11" s="92">
        <f>SUM(C12:C16)</f>
        <v>2045000</v>
      </c>
      <c r="D11" s="93">
        <f>SUM(D12:D16)</f>
        <v>2206952</v>
      </c>
      <c r="E11" s="65" t="s">
        <v>15</v>
      </c>
      <c r="F11" s="803">
        <f>'4. melléklet'!M9</f>
        <v>67900</v>
      </c>
      <c r="G11" s="803">
        <f>'4. melléklet'!N9</f>
        <v>62514</v>
      </c>
      <c r="H11" s="804">
        <f>'4. melléklet'!O9</f>
        <v>70333</v>
      </c>
    </row>
    <row r="12" spans="1:8" ht="15">
      <c r="A12" s="48" t="s">
        <v>14</v>
      </c>
      <c r="B12" s="47">
        <f>'3. melléklet'!K14</f>
        <v>500000</v>
      </c>
      <c r="C12" s="47">
        <f>'3. melléklet'!L14</f>
        <v>500000</v>
      </c>
      <c r="D12" s="49">
        <f>'3. melléklet'!M14</f>
        <v>547328</v>
      </c>
      <c r="E12" s="65"/>
      <c r="F12" s="68"/>
      <c r="G12" s="68"/>
      <c r="H12" s="69"/>
    </row>
    <row r="13" spans="1:8" ht="15">
      <c r="A13" s="48" t="s">
        <v>85</v>
      </c>
      <c r="B13" s="47">
        <f>'3. melléklet'!K17</f>
        <v>1537000</v>
      </c>
      <c r="C13" s="47">
        <f>'3. melléklet'!L17</f>
        <v>1535000</v>
      </c>
      <c r="D13" s="49">
        <f>'3. melléklet'!M17</f>
        <v>1647724</v>
      </c>
      <c r="E13" s="65" t="s">
        <v>17</v>
      </c>
      <c r="F13" s="803">
        <f>SUM(F14:F18)</f>
        <v>1089152</v>
      </c>
      <c r="G13" s="803">
        <f aca="true" t="shared" si="2" ref="G13">SUM(G14:G18)</f>
        <v>1356242</v>
      </c>
      <c r="H13" s="804">
        <f aca="true" t="shared" si="3" ref="H13">SUM(H14:H18)</f>
        <v>1400370</v>
      </c>
    </row>
    <row r="14" spans="1:8" ht="15">
      <c r="A14" s="48" t="s">
        <v>16</v>
      </c>
      <c r="B14" s="47">
        <f>'3. melléklet'!K22</f>
        <v>5000</v>
      </c>
      <c r="C14" s="47">
        <f>'3. melléklet'!L22</f>
        <v>5000</v>
      </c>
      <c r="D14" s="49">
        <f>'3. melléklet'!M22</f>
        <v>3119</v>
      </c>
      <c r="E14" s="25" t="s">
        <v>18</v>
      </c>
      <c r="F14" s="68">
        <f>'4. melléklet'!M11</f>
        <v>18000</v>
      </c>
      <c r="G14" s="68">
        <f>'4. melléklet'!N11</f>
        <v>500</v>
      </c>
      <c r="H14" s="69">
        <f>'4. melléklet'!O11</f>
        <v>18140</v>
      </c>
    </row>
    <row r="15" spans="1:8" ht="15">
      <c r="A15" s="48" t="s">
        <v>800</v>
      </c>
      <c r="B15" s="47">
        <f>'3. melléklet'!K23</f>
        <v>3000</v>
      </c>
      <c r="C15" s="47">
        <f>'3. melléklet'!L23</f>
        <v>3000</v>
      </c>
      <c r="D15" s="49">
        <f>'3. melléklet'!M23</f>
        <v>6205</v>
      </c>
      <c r="E15" s="25" t="s">
        <v>19</v>
      </c>
      <c r="F15" s="68">
        <f>'4. melléklet'!M12</f>
        <v>0</v>
      </c>
      <c r="G15" s="68">
        <f>'4. melléklet'!N12</f>
        <v>17500</v>
      </c>
      <c r="H15" s="69">
        <f>'4. melléklet'!O12</f>
        <v>17500</v>
      </c>
    </row>
    <row r="16" spans="1:8" ht="15">
      <c r="A16" s="808" t="s">
        <v>95</v>
      </c>
      <c r="B16" s="47">
        <f>'3. melléklet'!K24</f>
        <v>0</v>
      </c>
      <c r="C16" s="809">
        <f>'3. melléklet'!L24</f>
        <v>2000</v>
      </c>
      <c r="D16" s="810">
        <f>'3. melléklet'!M24</f>
        <v>2576</v>
      </c>
      <c r="E16" s="25" t="s">
        <v>20</v>
      </c>
      <c r="F16" s="68">
        <f>'4. melléklet'!M13</f>
        <v>40000</v>
      </c>
      <c r="G16" s="68">
        <f>'4. melléklet'!N13</f>
        <v>55000</v>
      </c>
      <c r="H16" s="69">
        <f>'4. melléklet'!O13</f>
        <v>62700</v>
      </c>
    </row>
    <row r="17" spans="1:8" ht="15" customHeight="1">
      <c r="A17" s="48"/>
      <c r="B17" s="47"/>
      <c r="C17" s="47"/>
      <c r="D17" s="49"/>
      <c r="E17" s="41" t="s">
        <v>22</v>
      </c>
      <c r="F17" s="68">
        <f>'4. melléklet'!M14</f>
        <v>916152</v>
      </c>
      <c r="G17" s="68">
        <f>'4. melléklet'!N14</f>
        <v>1058164</v>
      </c>
      <c r="H17" s="69">
        <f>'4. melléklet'!O14</f>
        <v>1085607</v>
      </c>
    </row>
    <row r="18" spans="1:8" ht="15">
      <c r="A18" s="62" t="s">
        <v>21</v>
      </c>
      <c r="B18" s="92">
        <f>SUM(B19:B26)</f>
        <v>2235961</v>
      </c>
      <c r="C18" s="92">
        <f aca="true" t="shared" si="4" ref="C18:D18">SUM(C19:C26)</f>
        <v>2487986</v>
      </c>
      <c r="D18" s="93">
        <f t="shared" si="4"/>
        <v>1752781</v>
      </c>
      <c r="E18" s="25" t="s">
        <v>24</v>
      </c>
      <c r="F18" s="68">
        <f>SUM(F19:F21)</f>
        <v>115000</v>
      </c>
      <c r="G18" s="68">
        <f aca="true" t="shared" si="5" ref="G18:H18">SUM(G19:G21)</f>
        <v>225078</v>
      </c>
      <c r="H18" s="69">
        <f t="shared" si="5"/>
        <v>216423</v>
      </c>
    </row>
    <row r="19" spans="1:8" ht="30">
      <c r="A19" s="48" t="s">
        <v>71</v>
      </c>
      <c r="B19" s="114">
        <f>'3. melléklet'!K26</f>
        <v>1536222</v>
      </c>
      <c r="C19" s="114">
        <f>'3. melléklet'!L26</f>
        <v>1542270</v>
      </c>
      <c r="D19" s="115">
        <f>'3. melléklet'!M26</f>
        <v>952455</v>
      </c>
      <c r="E19" s="42" t="s">
        <v>26</v>
      </c>
      <c r="F19" s="73">
        <f>'4. melléklet'!M16</f>
        <v>15000</v>
      </c>
      <c r="G19" s="73">
        <f>'4. melléklet'!N16</f>
        <v>4135</v>
      </c>
      <c r="H19" s="74">
        <f>'4. melléklet'!O16</f>
        <v>3728</v>
      </c>
    </row>
    <row r="20" spans="1:8" ht="15">
      <c r="A20" s="48" t="s">
        <v>25</v>
      </c>
      <c r="B20" s="114">
        <f>'3. melléklet'!K27</f>
        <v>66269</v>
      </c>
      <c r="C20" s="114">
        <f>'3. melléklet'!L27</f>
        <v>251514</v>
      </c>
      <c r="D20" s="115">
        <f>'3. melléklet'!M27</f>
        <v>248927</v>
      </c>
      <c r="E20" s="43" t="s">
        <v>28</v>
      </c>
      <c r="F20" s="73">
        <f>'4. melléklet'!M17</f>
        <v>100000</v>
      </c>
      <c r="G20" s="73">
        <f>'4. melléklet'!N17</f>
        <v>211600</v>
      </c>
      <c r="H20" s="74">
        <f>'4. melléklet'!O17</f>
        <v>203352</v>
      </c>
    </row>
    <row r="21" spans="1:8" ht="15">
      <c r="A21" s="48" t="s">
        <v>27</v>
      </c>
      <c r="B21" s="114">
        <f>'3. melléklet'!K28</f>
        <v>27960</v>
      </c>
      <c r="C21" s="114">
        <f>'3. melléklet'!L28</f>
        <v>27960</v>
      </c>
      <c r="D21" s="115">
        <f>'3. melléklet'!M28</f>
        <v>29079</v>
      </c>
      <c r="E21" s="44" t="s">
        <v>30</v>
      </c>
      <c r="F21" s="75">
        <f>'4. melléklet'!M18</f>
        <v>0</v>
      </c>
      <c r="G21" s="75">
        <f>'4. melléklet'!N18</f>
        <v>9343</v>
      </c>
      <c r="H21" s="76">
        <f>'4. melléklet'!O18</f>
        <v>9343</v>
      </c>
    </row>
    <row r="22" spans="1:8" ht="15">
      <c r="A22" s="48" t="s">
        <v>29</v>
      </c>
      <c r="B22" s="114">
        <f>'3. melléklet'!K29</f>
        <v>94520</v>
      </c>
      <c r="C22" s="114">
        <f>'3. melléklet'!L29</f>
        <v>94520</v>
      </c>
      <c r="D22" s="115">
        <f>'3. melléklet'!M29</f>
        <v>88949</v>
      </c>
      <c r="E22" s="953"/>
      <c r="F22" s="954"/>
      <c r="G22" s="954"/>
      <c r="H22" s="955"/>
    </row>
    <row r="23" spans="1:8" ht="15">
      <c r="A23" s="48" t="s">
        <v>31</v>
      </c>
      <c r="B23" s="114">
        <f>'3. melléklet'!K30</f>
        <v>81688</v>
      </c>
      <c r="C23" s="114">
        <f>'3. melléklet'!L30</f>
        <v>91657</v>
      </c>
      <c r="D23" s="115">
        <f>'3. melléklet'!M30</f>
        <v>97002</v>
      </c>
      <c r="E23" s="44"/>
      <c r="F23" s="68"/>
      <c r="G23" s="68"/>
      <c r="H23" s="69"/>
    </row>
    <row r="24" spans="1:8" ht="15">
      <c r="A24" s="48" t="s">
        <v>32</v>
      </c>
      <c r="B24" s="114">
        <f>'3. melléklet'!K31</f>
        <v>429052</v>
      </c>
      <c r="C24" s="114">
        <f>'3. melléklet'!L31</f>
        <v>478758</v>
      </c>
      <c r="D24" s="115">
        <f>'3. melléklet'!M31</f>
        <v>322302</v>
      </c>
      <c r="E24" s="71"/>
      <c r="F24" s="75"/>
      <c r="G24" s="75"/>
      <c r="H24" s="76"/>
    </row>
    <row r="25" spans="1:8" ht="15">
      <c r="A25" s="48" t="s">
        <v>801</v>
      </c>
      <c r="B25" s="114">
        <f>'3. melléklet'!K32</f>
        <v>150</v>
      </c>
      <c r="C25" s="114">
        <f>'3. melléklet'!L32</f>
        <v>150</v>
      </c>
      <c r="D25" s="115">
        <f>'3. melléklet'!M32</f>
        <v>150</v>
      </c>
      <c r="E25" s="72"/>
      <c r="F25" s="75"/>
      <c r="G25" s="75"/>
      <c r="H25" s="76"/>
    </row>
    <row r="26" spans="1:8" ht="15">
      <c r="A26" s="77" t="s">
        <v>34</v>
      </c>
      <c r="B26" s="114">
        <f>'3. melléklet'!K33</f>
        <v>100</v>
      </c>
      <c r="C26" s="114">
        <f>'3. melléklet'!L33</f>
        <v>1157</v>
      </c>
      <c r="D26" s="115">
        <f>'3. melléklet'!M33</f>
        <v>13917</v>
      </c>
      <c r="E26" s="72"/>
      <c r="F26" s="68"/>
      <c r="G26" s="68"/>
      <c r="H26" s="69"/>
    </row>
    <row r="27" spans="1:8" ht="15">
      <c r="A27" s="77"/>
      <c r="B27" s="47"/>
      <c r="C27" s="47"/>
      <c r="D27" s="49"/>
      <c r="E27" s="72"/>
      <c r="F27" s="68"/>
      <c r="G27" s="68"/>
      <c r="H27" s="69"/>
    </row>
    <row r="28" spans="1:254" ht="15">
      <c r="A28" s="62" t="s">
        <v>58</v>
      </c>
      <c r="B28" s="63">
        <f>B29</f>
        <v>892255</v>
      </c>
      <c r="C28" s="63">
        <f aca="true" t="shared" si="6" ref="C28">C29</f>
        <v>1400853</v>
      </c>
      <c r="D28" s="64">
        <f>SUM(D29:D30)</f>
        <v>1416949</v>
      </c>
      <c r="E28" s="70"/>
      <c r="F28" s="68"/>
      <c r="G28" s="68"/>
      <c r="H28" s="69"/>
      <c r="IS28" s="78"/>
      <c r="IT28" s="78"/>
    </row>
    <row r="29" spans="1:254" ht="15">
      <c r="A29" s="48" t="s">
        <v>59</v>
      </c>
      <c r="B29" s="47">
        <v>892255</v>
      </c>
      <c r="C29" s="47">
        <v>1400853</v>
      </c>
      <c r="D29" s="49">
        <v>948690</v>
      </c>
      <c r="E29" s="70"/>
      <c r="F29" s="68"/>
      <c r="G29" s="68"/>
      <c r="H29" s="69"/>
      <c r="IS29" s="78"/>
      <c r="IT29" s="78"/>
    </row>
    <row r="30" spans="1:254" ht="17.25" customHeight="1">
      <c r="A30" s="48" t="s">
        <v>974</v>
      </c>
      <c r="B30" s="47"/>
      <c r="C30" s="47"/>
      <c r="D30" s="49">
        <v>468259</v>
      </c>
      <c r="E30" s="70"/>
      <c r="F30" s="68"/>
      <c r="G30" s="68"/>
      <c r="H30" s="69"/>
      <c r="IS30" s="78"/>
      <c r="IT30" s="78"/>
    </row>
    <row r="31" spans="1:254" ht="15">
      <c r="A31" s="62" t="s">
        <v>39</v>
      </c>
      <c r="B31" s="63">
        <f>SUM(B32:B33)</f>
        <v>50912</v>
      </c>
      <c r="C31" s="63">
        <f aca="true" t="shared" si="7" ref="C31:D31">SUM(C32:C33)</f>
        <v>82082</v>
      </c>
      <c r="D31" s="64">
        <f t="shared" si="7"/>
        <v>29617</v>
      </c>
      <c r="E31" s="70"/>
      <c r="F31" s="68"/>
      <c r="G31" s="68"/>
      <c r="H31" s="69"/>
      <c r="IS31" s="78"/>
      <c r="IT31" s="78"/>
    </row>
    <row r="32" spans="1:254" ht="15">
      <c r="A32" s="48" t="s">
        <v>20</v>
      </c>
      <c r="B32" s="47">
        <f>'3. melléklet'!K38</f>
        <v>40000</v>
      </c>
      <c r="C32" s="47">
        <f>'3. melléklet'!L38</f>
        <v>55000</v>
      </c>
      <c r="D32" s="49">
        <f>'3. melléklet'!M38</f>
        <v>20000</v>
      </c>
      <c r="E32" s="70"/>
      <c r="F32" s="68"/>
      <c r="G32" s="68"/>
      <c r="H32" s="69"/>
      <c r="IS32" s="78"/>
      <c r="IT32" s="78"/>
    </row>
    <row r="33" spans="1:254" ht="15">
      <c r="A33" s="48" t="s">
        <v>9</v>
      </c>
      <c r="B33" s="47">
        <f>'3. melléklet'!K39</f>
        <v>10912</v>
      </c>
      <c r="C33" s="47">
        <f>'3. melléklet'!L39</f>
        <v>27082</v>
      </c>
      <c r="D33" s="49">
        <f>'3. melléklet'!M39</f>
        <v>9617</v>
      </c>
      <c r="E33" s="70"/>
      <c r="F33" s="68"/>
      <c r="G33" s="68"/>
      <c r="H33" s="69"/>
      <c r="IS33" s="78"/>
      <c r="IT33" s="78"/>
    </row>
    <row r="34" spans="1:8" s="78" customFormat="1" ht="15.75" thickBot="1">
      <c r="A34" s="79"/>
      <c r="B34" s="80"/>
      <c r="C34" s="80"/>
      <c r="D34" s="81"/>
      <c r="E34" s="82"/>
      <c r="F34" s="83"/>
      <c r="G34" s="83"/>
      <c r="H34" s="84"/>
    </row>
    <row r="35" spans="1:10" s="78" customFormat="1" ht="15.75" thickBot="1">
      <c r="A35" s="194" t="s">
        <v>54</v>
      </c>
      <c r="B35" s="85">
        <f>B5+B7+B11+B18-B28+B31</f>
        <v>4800930</v>
      </c>
      <c r="C35" s="85">
        <f>C5+C7+C11+C18-C28+C31</f>
        <v>5810973</v>
      </c>
      <c r="D35" s="86">
        <f>D5+D7+D11+D18-D28+D31</f>
        <v>5158635</v>
      </c>
      <c r="E35" s="138" t="s">
        <v>55</v>
      </c>
      <c r="F35" s="87">
        <f>F5+F7+F9+F11+F13</f>
        <v>4942129</v>
      </c>
      <c r="G35" s="87">
        <f>G5+G7+G9+G11+G13</f>
        <v>6182947</v>
      </c>
      <c r="H35" s="88">
        <f>H5+H7+H9+H11+H13</f>
        <v>5517933</v>
      </c>
      <c r="J35" s="1044"/>
    </row>
    <row r="36" spans="1:8" s="78" customFormat="1" ht="15">
      <c r="A36" s="89"/>
      <c r="B36" s="57"/>
      <c r="C36" s="57"/>
      <c r="D36" s="58"/>
      <c r="E36" s="90"/>
      <c r="F36" s="60"/>
      <c r="G36" s="60"/>
      <c r="H36" s="61"/>
    </row>
    <row r="37" spans="1:8" s="78" customFormat="1" ht="15">
      <c r="A37" s="91" t="s">
        <v>798</v>
      </c>
      <c r="B37" s="92">
        <v>80411</v>
      </c>
      <c r="C37" s="92">
        <f>'14. melléklet 2'!C18+23374+1</f>
        <v>380410</v>
      </c>
      <c r="D37" s="93">
        <f>'14. melléklet 2'!D18</f>
        <v>357035</v>
      </c>
      <c r="E37" s="65"/>
      <c r="F37" s="66"/>
      <c r="G37" s="66"/>
      <c r="H37" s="67"/>
    </row>
    <row r="38" spans="1:8" s="78" customFormat="1" ht="15">
      <c r="A38" s="91" t="s">
        <v>96</v>
      </c>
      <c r="B38" s="92">
        <f>'3. melléklet'!K44</f>
        <v>0</v>
      </c>
      <c r="C38" s="92">
        <f>'3. melléklet'!L44</f>
        <v>1500000</v>
      </c>
      <c r="D38" s="93">
        <f>'3. melléklet'!M44</f>
        <v>747000</v>
      </c>
      <c r="E38" s="65" t="s">
        <v>97</v>
      </c>
      <c r="F38" s="66">
        <f>'4. melléklet'!M28</f>
        <v>0</v>
      </c>
      <c r="G38" s="66">
        <f>'4. melléklet'!N28</f>
        <v>1500000</v>
      </c>
      <c r="H38" s="67">
        <f>'4. melléklet'!O28</f>
        <v>747000</v>
      </c>
    </row>
    <row r="39" spans="1:8" s="78" customFormat="1" ht="15">
      <c r="A39" s="94" t="s">
        <v>60</v>
      </c>
      <c r="B39" s="63">
        <v>1943975</v>
      </c>
      <c r="C39" s="63">
        <f>'3. melléklet'!L47-'4. melléklet'!H19-'4. melléklet'!K19-'4. melléklet'!K20</f>
        <v>1900158</v>
      </c>
      <c r="D39" s="64">
        <f>'3. melléklet'!M47-'4. melléklet'!I19-'4. melléklet'!L19-'4. melléklet'!L20</f>
        <v>1695503</v>
      </c>
      <c r="E39" s="65" t="s">
        <v>61</v>
      </c>
      <c r="F39" s="95">
        <v>1883187</v>
      </c>
      <c r="G39" s="95">
        <f>C39</f>
        <v>1900158</v>
      </c>
      <c r="H39" s="67">
        <f>D39</f>
        <v>1695503</v>
      </c>
    </row>
    <row r="40" spans="1:8" s="78" customFormat="1" ht="15">
      <c r="A40" s="94" t="s">
        <v>47</v>
      </c>
      <c r="B40" s="63">
        <f>'3. melléklet'!K45</f>
        <v>35000</v>
      </c>
      <c r="C40" s="63">
        <f>'3. melléklet'!L45</f>
        <v>35000</v>
      </c>
      <c r="D40" s="64">
        <f>'3. melléklet'!M45</f>
        <v>45699</v>
      </c>
      <c r="E40" s="65" t="s">
        <v>108</v>
      </c>
      <c r="F40" s="66">
        <f>'4. melléklet'!M29</f>
        <v>35000</v>
      </c>
      <c r="G40" s="66">
        <f>'4. melléklet'!N29</f>
        <v>43436</v>
      </c>
      <c r="H40" s="67">
        <f>'4. melléklet'!O29</f>
        <v>43436</v>
      </c>
    </row>
    <row r="41" spans="1:8" s="78" customFormat="1" ht="15.75" thickBot="1">
      <c r="A41" s="96"/>
      <c r="B41" s="97"/>
      <c r="C41" s="97"/>
      <c r="D41" s="98"/>
      <c r="E41" s="99"/>
      <c r="F41" s="100"/>
      <c r="G41" s="100"/>
      <c r="H41" s="101"/>
    </row>
    <row r="42" spans="1:8" s="78" customFormat="1" ht="15.75" thickBot="1">
      <c r="A42" s="145" t="s">
        <v>53</v>
      </c>
      <c r="B42" s="85">
        <f>SUM(B37:B40)</f>
        <v>2059386</v>
      </c>
      <c r="C42" s="85">
        <f aca="true" t="shared" si="8" ref="C42:D42">SUM(C37:C40)</f>
        <v>3815568</v>
      </c>
      <c r="D42" s="86">
        <f t="shared" si="8"/>
        <v>2845237</v>
      </c>
      <c r="E42" s="138" t="s">
        <v>56</v>
      </c>
      <c r="F42" s="87">
        <f>SUM(F38:F40)</f>
        <v>1918187</v>
      </c>
      <c r="G42" s="87">
        <f aca="true" t="shared" si="9" ref="G42">SUM(G38:G40)</f>
        <v>3443594</v>
      </c>
      <c r="H42" s="88">
        <f aca="true" t="shared" si="10" ref="H42">SUM(H38:H40)</f>
        <v>2485939</v>
      </c>
    </row>
    <row r="43" spans="1:8" s="78" customFormat="1" ht="15.75" thickBot="1">
      <c r="A43" s="102"/>
      <c r="B43" s="103"/>
      <c r="C43" s="103"/>
      <c r="D43" s="104"/>
      <c r="E43" s="105"/>
      <c r="F43" s="106"/>
      <c r="G43" s="106"/>
      <c r="H43" s="107"/>
    </row>
    <row r="44" spans="1:11" s="78" customFormat="1" ht="15.75" thickBot="1">
      <c r="A44" s="108" t="s">
        <v>104</v>
      </c>
      <c r="B44" s="109">
        <f>B35+B42</f>
        <v>6860316</v>
      </c>
      <c r="C44" s="109">
        <f aca="true" t="shared" si="11" ref="C44:D44">C35+C42</f>
        <v>9626541</v>
      </c>
      <c r="D44" s="110">
        <f t="shared" si="11"/>
        <v>8003872</v>
      </c>
      <c r="E44" s="108" t="s">
        <v>107</v>
      </c>
      <c r="F44" s="87">
        <f>F35+F42</f>
        <v>6860316</v>
      </c>
      <c r="G44" s="87">
        <f aca="true" t="shared" si="12" ref="G44">G35+G42</f>
        <v>9626541</v>
      </c>
      <c r="H44" s="88">
        <f aca="true" t="shared" si="13" ref="H44">H35+H42</f>
        <v>8003872</v>
      </c>
      <c r="J44" s="1044"/>
      <c r="K44" s="1044"/>
    </row>
    <row r="45" spans="1:8" s="50" customFormat="1" ht="15" customHeight="1">
      <c r="A45" s="111"/>
      <c r="B45" s="112"/>
      <c r="C45" s="112"/>
      <c r="D45" s="112"/>
      <c r="E45" s="111"/>
      <c r="F45" s="78"/>
      <c r="G45" s="78"/>
      <c r="H45" s="78"/>
    </row>
    <row r="46" spans="1:8" ht="14.25" customHeight="1">
      <c r="A46" s="1431" t="s">
        <v>63</v>
      </c>
      <c r="B46" s="1431"/>
      <c r="C46" s="1431"/>
      <c r="D46" s="1431"/>
      <c r="E46" s="1431"/>
      <c r="F46" s="1431"/>
      <c r="G46" s="1431"/>
      <c r="H46" s="1431"/>
    </row>
    <row r="47" spans="1:8" s="50" customFormat="1" ht="15.75" thickBot="1">
      <c r="A47" s="51"/>
      <c r="B47" s="46"/>
      <c r="C47" s="46"/>
      <c r="D47" s="46"/>
      <c r="E47" s="113"/>
      <c r="F47" s="46"/>
      <c r="G47" s="46"/>
      <c r="H47" s="46"/>
    </row>
    <row r="48" spans="1:8" s="50" customFormat="1" ht="14.25">
      <c r="A48" s="1432" t="s">
        <v>1</v>
      </c>
      <c r="B48" s="1433"/>
      <c r="C48" s="1433"/>
      <c r="D48" s="1434"/>
      <c r="E48" s="1435" t="s">
        <v>2</v>
      </c>
      <c r="F48" s="1433"/>
      <c r="G48" s="1433"/>
      <c r="H48" s="1434"/>
    </row>
    <row r="49" spans="1:8" s="50" customFormat="1" ht="29.25" thickBot="1">
      <c r="A49" s="52" t="s">
        <v>3</v>
      </c>
      <c r="B49" s="53" t="s">
        <v>4</v>
      </c>
      <c r="C49" s="802" t="s">
        <v>915</v>
      </c>
      <c r="D49" s="991" t="s">
        <v>919</v>
      </c>
      <c r="E49" s="54" t="s">
        <v>3</v>
      </c>
      <c r="F49" s="55" t="s">
        <v>5</v>
      </c>
      <c r="G49" s="802" t="s">
        <v>915</v>
      </c>
      <c r="H49" s="991" t="s">
        <v>919</v>
      </c>
    </row>
    <row r="50" spans="1:8" s="50" customFormat="1" ht="14.25">
      <c r="A50" s="56" t="s">
        <v>36</v>
      </c>
      <c r="B50" s="57">
        <f>SUM(B51:B52)</f>
        <v>1500</v>
      </c>
      <c r="C50" s="57">
        <f aca="true" t="shared" si="14" ref="C50:D50">SUM(C51:C52)</f>
        <v>27434</v>
      </c>
      <c r="D50" s="58">
        <f t="shared" si="14"/>
        <v>27434</v>
      </c>
      <c r="E50" s="90" t="s">
        <v>64</v>
      </c>
      <c r="F50" s="60">
        <f>'4. melléklet'!M19</f>
        <v>1863729</v>
      </c>
      <c r="G50" s="60">
        <f>'4. melléklet'!N19</f>
        <v>3115837</v>
      </c>
      <c r="H50" s="61">
        <f>'4. melléklet'!O19</f>
        <v>3202919</v>
      </c>
    </row>
    <row r="51" spans="1:8" s="960" customFormat="1" ht="15">
      <c r="A51" s="965" t="s">
        <v>37</v>
      </c>
      <c r="B51" s="966">
        <f>'3. melléklet'!K35</f>
        <v>1500</v>
      </c>
      <c r="C51" s="966">
        <f>'3. melléklet'!L35</f>
        <v>25879</v>
      </c>
      <c r="D51" s="967">
        <f>'3. melléklet'!M35</f>
        <v>25879</v>
      </c>
      <c r="E51" s="959"/>
      <c r="F51" s="812"/>
      <c r="G51" s="812"/>
      <c r="H51" s="813"/>
    </row>
    <row r="52" spans="1:8" s="50" customFormat="1" ht="15">
      <c r="A52" s="48" t="s">
        <v>802</v>
      </c>
      <c r="B52" s="114">
        <f>'3. melléklet'!K36</f>
        <v>0</v>
      </c>
      <c r="C52" s="114">
        <f>'3. melléklet'!L36</f>
        <v>1555</v>
      </c>
      <c r="D52" s="115">
        <f>'3. melléklet'!M36</f>
        <v>1555</v>
      </c>
      <c r="E52" s="65" t="s">
        <v>65</v>
      </c>
      <c r="F52" s="66">
        <f>'4. melléklet'!M20</f>
        <v>529166</v>
      </c>
      <c r="G52" s="66">
        <f>'4. melléklet'!N20</f>
        <v>737165</v>
      </c>
      <c r="H52" s="67">
        <f>'4. melléklet'!O20</f>
        <v>753935</v>
      </c>
    </row>
    <row r="53" spans="1:8" s="50" customFormat="1" ht="15">
      <c r="A53" s="48"/>
      <c r="B53" s="114"/>
      <c r="C53" s="114"/>
      <c r="D53" s="115"/>
      <c r="E53" s="65"/>
      <c r="F53" s="66"/>
      <c r="G53" s="66"/>
      <c r="H53" s="67"/>
    </row>
    <row r="54" spans="1:8" s="50" customFormat="1" ht="14.25">
      <c r="A54" s="62" t="s">
        <v>66</v>
      </c>
      <c r="B54" s="92">
        <f>'3. melléklet'!K12</f>
        <v>0</v>
      </c>
      <c r="C54" s="92">
        <f>'3. melléklet'!L12</f>
        <v>1167789</v>
      </c>
      <c r="D54" s="93">
        <f>'3. melléklet'!M12</f>
        <v>1170623</v>
      </c>
      <c r="E54" s="116" t="s">
        <v>67</v>
      </c>
      <c r="F54" s="66">
        <f>SUM(F55:F57)</f>
        <v>57200</v>
      </c>
      <c r="G54" s="66">
        <f aca="true" t="shared" si="15" ref="G54">SUM(G55:G57)</f>
        <v>8190</v>
      </c>
      <c r="H54" s="67">
        <f aca="true" t="shared" si="16" ref="H54">SUM(H55:H57)</f>
        <v>3650</v>
      </c>
    </row>
    <row r="55" spans="1:8" ht="15">
      <c r="A55" s="48"/>
      <c r="B55" s="114"/>
      <c r="C55" s="114"/>
      <c r="D55" s="115"/>
      <c r="E55" s="70" t="s">
        <v>20</v>
      </c>
      <c r="F55" s="812">
        <f>'4. melléklet'!M22</f>
        <v>1200</v>
      </c>
      <c r="G55" s="812">
        <f>'4. melléklet'!N22</f>
        <v>1400</v>
      </c>
      <c r="H55" s="813">
        <f>'4. melléklet'!O22</f>
        <v>1600</v>
      </c>
    </row>
    <row r="56" spans="1:8" ht="15">
      <c r="A56" s="62" t="s">
        <v>44</v>
      </c>
      <c r="B56" s="63">
        <f>SUM(B57:B58)</f>
        <v>191619</v>
      </c>
      <c r="C56" s="63">
        <f aca="true" t="shared" si="17" ref="C56:D56">SUM(C57:C58)</f>
        <v>177654</v>
      </c>
      <c r="D56" s="64">
        <f t="shared" si="17"/>
        <v>190655</v>
      </c>
      <c r="E56" s="70" t="s">
        <v>40</v>
      </c>
      <c r="F56" s="812">
        <f>'4. melléklet'!M23</f>
        <v>6000</v>
      </c>
      <c r="G56" s="812">
        <f>'4. melléklet'!N23</f>
        <v>6790</v>
      </c>
      <c r="H56" s="813">
        <f>'4. melléklet'!O23</f>
        <v>2050</v>
      </c>
    </row>
    <row r="57" spans="1:8" ht="15">
      <c r="A57" s="48" t="s">
        <v>20</v>
      </c>
      <c r="B57" s="47">
        <f>'3. melléklet'!K41</f>
        <v>1336</v>
      </c>
      <c r="C57" s="47">
        <f>'3. melléklet'!L41</f>
        <v>1376</v>
      </c>
      <c r="D57" s="49">
        <f>'3. melléklet'!M41</f>
        <v>1376</v>
      </c>
      <c r="E57" s="70" t="s">
        <v>41</v>
      </c>
      <c r="F57" s="68">
        <f>F58</f>
        <v>50000</v>
      </c>
      <c r="G57" s="68">
        <f aca="true" t="shared" si="18" ref="G57:H57">G58</f>
        <v>0</v>
      </c>
      <c r="H57" s="69">
        <f t="shared" si="18"/>
        <v>0</v>
      </c>
    </row>
    <row r="58" spans="1:8" ht="15">
      <c r="A58" s="48" t="s">
        <v>68</v>
      </c>
      <c r="B58" s="47">
        <f>'3. melléklet'!K42</f>
        <v>190283</v>
      </c>
      <c r="C58" s="47">
        <f>'3. melléklet'!L42</f>
        <v>176278</v>
      </c>
      <c r="D58" s="49">
        <f>'3. melléklet'!M42</f>
        <v>189279</v>
      </c>
      <c r="E58" s="117" t="s">
        <v>43</v>
      </c>
      <c r="F58" s="118">
        <f>'4. melléklet'!M25</f>
        <v>50000</v>
      </c>
      <c r="G58" s="118">
        <f>'4. melléklet'!N25</f>
        <v>0</v>
      </c>
      <c r="H58" s="119">
        <f>'4. melléklet'!O25</f>
        <v>0</v>
      </c>
    </row>
    <row r="59" spans="1:8" ht="15">
      <c r="A59" s="62"/>
      <c r="B59" s="63"/>
      <c r="C59" s="63"/>
      <c r="D59" s="64"/>
      <c r="E59" s="117"/>
      <c r="F59" s="118"/>
      <c r="G59" s="118"/>
      <c r="H59" s="119"/>
    </row>
    <row r="60" spans="1:8" ht="15">
      <c r="A60" s="62" t="s">
        <v>72</v>
      </c>
      <c r="B60" s="92">
        <f>B61</f>
        <v>892255</v>
      </c>
      <c r="C60" s="92">
        <f aca="true" t="shared" si="19" ref="C60">C61</f>
        <v>1400853</v>
      </c>
      <c r="D60" s="93">
        <f>SUM(D61:D62)</f>
        <v>1416949</v>
      </c>
      <c r="E60" s="962"/>
      <c r="F60" s="963"/>
      <c r="G60" s="963"/>
      <c r="H60" s="964"/>
    </row>
    <row r="61" spans="1:8" ht="15">
      <c r="A61" s="48" t="s">
        <v>59</v>
      </c>
      <c r="B61" s="47">
        <f>B29</f>
        <v>892255</v>
      </c>
      <c r="C61" s="47">
        <f>C29</f>
        <v>1400853</v>
      </c>
      <c r="D61" s="49">
        <f>D29</f>
        <v>948690</v>
      </c>
      <c r="E61" s="120"/>
      <c r="F61" s="75"/>
      <c r="G61" s="75"/>
      <c r="H61" s="76"/>
    </row>
    <row r="62" spans="1:8" ht="15.75" thickBot="1">
      <c r="A62" s="79" t="s">
        <v>974</v>
      </c>
      <c r="B62" s="97"/>
      <c r="C62" s="97"/>
      <c r="D62" s="1271">
        <v>468259</v>
      </c>
      <c r="E62" s="99"/>
      <c r="F62" s="100"/>
      <c r="G62" s="100"/>
      <c r="H62" s="101"/>
    </row>
    <row r="63" spans="1:8" ht="15.75" thickBot="1">
      <c r="A63" s="194" t="s">
        <v>54</v>
      </c>
      <c r="B63" s="85">
        <f>B50+B54+B56+B60</f>
        <v>1085374</v>
      </c>
      <c r="C63" s="85">
        <f>C50+C54+C56+C60</f>
        <v>2773730</v>
      </c>
      <c r="D63" s="86">
        <f>D50+D54+D56+D60</f>
        <v>2805661</v>
      </c>
      <c r="E63" s="138" t="s">
        <v>55</v>
      </c>
      <c r="F63" s="87">
        <f>F50+F52+F54</f>
        <v>2450095</v>
      </c>
      <c r="G63" s="87">
        <f>G50+G52+G54</f>
        <v>3861192</v>
      </c>
      <c r="H63" s="88">
        <f>H50+H52+H54</f>
        <v>3960504</v>
      </c>
    </row>
    <row r="64" spans="1:8" ht="15">
      <c r="A64" s="56"/>
      <c r="B64" s="146"/>
      <c r="C64" s="146"/>
      <c r="D64" s="147"/>
      <c r="E64" s="90"/>
      <c r="F64" s="60"/>
      <c r="G64" s="60"/>
      <c r="H64" s="61"/>
    </row>
    <row r="65" spans="1:8" ht="15">
      <c r="A65" s="961" t="s">
        <v>60</v>
      </c>
      <c r="B65" s="971">
        <f>'3. melléklet'!K47-'2. melléklet'!B39</f>
        <v>0</v>
      </c>
      <c r="C65" s="971">
        <f>'3. melléklet'!L47-'2. melléklet'!C39</f>
        <v>101067</v>
      </c>
      <c r="D65" s="972">
        <f>'3. melléklet'!M47-'2. melléklet'!D39</f>
        <v>102095</v>
      </c>
      <c r="E65" s="65" t="s">
        <v>60</v>
      </c>
      <c r="F65" s="66">
        <f>'4. melléklet'!M30-'2. melléklet'!F39</f>
        <v>60788</v>
      </c>
      <c r="G65" s="66">
        <f>'4. melléklet'!N30-'2. melléklet'!G39</f>
        <v>101067</v>
      </c>
      <c r="H65" s="67">
        <f>'4. melléklet'!O30-'2. melléklet'!H39</f>
        <v>102095</v>
      </c>
    </row>
    <row r="66" spans="1:8" ht="15.75" customHeight="1">
      <c r="A66" s="62" t="s">
        <v>73</v>
      </c>
      <c r="B66" s="66">
        <f>B67</f>
        <v>1576576</v>
      </c>
      <c r="C66" s="66">
        <f aca="true" t="shared" si="20" ref="C66:D66">C67</f>
        <v>1238529</v>
      </c>
      <c r="D66" s="67">
        <f t="shared" si="20"/>
        <v>1261910</v>
      </c>
      <c r="E66" s="65" t="s">
        <v>46</v>
      </c>
      <c r="F66" s="66">
        <f>'4. melléklet'!M27</f>
        <v>151067</v>
      </c>
      <c r="G66" s="66">
        <f>'4. melléklet'!N27</f>
        <v>151067</v>
      </c>
      <c r="H66" s="67">
        <f>'4. melléklet'!O27</f>
        <v>107067</v>
      </c>
    </row>
    <row r="67" spans="1:8" ht="15.75" customHeight="1">
      <c r="A67" s="811" t="s">
        <v>48</v>
      </c>
      <c r="B67" s="812">
        <f>'3. melléklet'!K46-'2. melléklet'!B37</f>
        <v>1576576</v>
      </c>
      <c r="C67" s="812">
        <f>'3. melléklet'!L46-'2. melléklet'!C37</f>
        <v>1238529</v>
      </c>
      <c r="D67" s="813">
        <f>'3. melléklet'!M46-'2. melléklet'!D37</f>
        <v>1261910</v>
      </c>
      <c r="E67" s="968"/>
      <c r="F67" s="969"/>
      <c r="G67" s="969"/>
      <c r="H67" s="970"/>
    </row>
    <row r="68" spans="1:8" ht="15.75" thickBot="1">
      <c r="A68" s="148"/>
      <c r="B68" s="83"/>
      <c r="C68" s="83"/>
      <c r="D68" s="84"/>
      <c r="E68" s="99"/>
      <c r="F68" s="100"/>
      <c r="G68" s="100"/>
      <c r="H68" s="101"/>
    </row>
    <row r="69" spans="1:8" ht="15.75" thickBot="1">
      <c r="A69" s="145" t="s">
        <v>53</v>
      </c>
      <c r="B69" s="85">
        <f>B66+B65</f>
        <v>1576576</v>
      </c>
      <c r="C69" s="85">
        <f aca="true" t="shared" si="21" ref="C69:D69">C66+C65</f>
        <v>1339596</v>
      </c>
      <c r="D69" s="86">
        <f t="shared" si="21"/>
        <v>1364005</v>
      </c>
      <c r="E69" s="138" t="s">
        <v>56</v>
      </c>
      <c r="F69" s="87">
        <f>SUM(F65:F66)</f>
        <v>211855</v>
      </c>
      <c r="G69" s="87">
        <f>SUM(G65:G66)</f>
        <v>252134</v>
      </c>
      <c r="H69" s="88">
        <f>SUM(H65:H66)</f>
        <v>209162</v>
      </c>
    </row>
    <row r="70" spans="1:8" ht="15.75" thickBot="1">
      <c r="A70" s="102"/>
      <c r="B70" s="106"/>
      <c r="C70" s="106"/>
      <c r="D70" s="107"/>
      <c r="E70" s="105"/>
      <c r="F70" s="106"/>
      <c r="G70" s="106"/>
      <c r="H70" s="107"/>
    </row>
    <row r="71" spans="1:8" ht="15.75" thickBot="1">
      <c r="A71" s="108" t="s">
        <v>105</v>
      </c>
      <c r="B71" s="87">
        <f>B63+B69</f>
        <v>2661950</v>
      </c>
      <c r="C71" s="87">
        <f>C63+C69</f>
        <v>4113326</v>
      </c>
      <c r="D71" s="88">
        <f>D63+D69</f>
        <v>4169666</v>
      </c>
      <c r="E71" s="108" t="s">
        <v>106</v>
      </c>
      <c r="F71" s="87">
        <f>F63+F69</f>
        <v>2661950</v>
      </c>
      <c r="G71" s="87">
        <f>G63+G69</f>
        <v>4113326</v>
      </c>
      <c r="H71" s="88">
        <f>H63+H69</f>
        <v>4169666</v>
      </c>
    </row>
    <row r="72" spans="1:8" ht="15">
      <c r="A72" s="121"/>
      <c r="B72" s="122"/>
      <c r="C72" s="122"/>
      <c r="D72" s="122"/>
      <c r="E72" s="121"/>
      <c r="F72" s="122"/>
      <c r="G72" s="122"/>
      <c r="H72" s="122"/>
    </row>
    <row r="73" spans="1:8" ht="15">
      <c r="A73" s="123" t="s">
        <v>51</v>
      </c>
      <c r="B73" s="124">
        <f>B44+B71</f>
        <v>9522266</v>
      </c>
      <c r="C73" s="124">
        <f>C44+C71</f>
        <v>13739867</v>
      </c>
      <c r="D73" s="124">
        <f>D44+D71</f>
        <v>12173538</v>
      </c>
      <c r="E73" s="125" t="s">
        <v>52</v>
      </c>
      <c r="F73" s="124">
        <f>F44+F71</f>
        <v>9522266</v>
      </c>
      <c r="G73" s="124">
        <f>G44+G71</f>
        <v>13739867</v>
      </c>
      <c r="H73" s="124">
        <f>H44+H71</f>
        <v>12173538</v>
      </c>
    </row>
    <row r="74" spans="1:8" ht="15">
      <c r="A74" s="123"/>
      <c r="B74" s="124"/>
      <c r="C74" s="124"/>
      <c r="D74" s="124"/>
      <c r="E74" s="125"/>
      <c r="F74" s="124"/>
      <c r="G74" s="124"/>
      <c r="H74" s="124"/>
    </row>
    <row r="75" ht="15">
      <c r="A75" s="1423" t="s">
        <v>995</v>
      </c>
    </row>
    <row r="76" spans="1:5" ht="15">
      <c r="A76" s="1423" t="s">
        <v>996</v>
      </c>
      <c r="B76" s="126"/>
      <c r="C76" s="126"/>
      <c r="D76" s="126"/>
      <c r="E76" s="127"/>
    </row>
    <row r="77" spans="1:5" ht="15">
      <c r="A77" s="1423" t="s">
        <v>997</v>
      </c>
      <c r="B77" s="128"/>
      <c r="C77" s="128"/>
      <c r="D77" s="128"/>
      <c r="E77" s="127"/>
    </row>
    <row r="78" ht="15">
      <c r="A78" s="1423" t="s">
        <v>998</v>
      </c>
    </row>
    <row r="79" ht="15">
      <c r="A79" s="1423" t="s">
        <v>999</v>
      </c>
    </row>
  </sheetData>
  <mergeCells count="6">
    <mergeCell ref="A1:H1"/>
    <mergeCell ref="A3:D3"/>
    <mergeCell ref="E3:H3"/>
    <mergeCell ref="A48:D48"/>
    <mergeCell ref="E48:H48"/>
    <mergeCell ref="A46:H4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  <headerFooter>
    <oddHeader>&amp;L&amp;"Times New Roman,Normál"&amp;10 2. melléklet 1,2,3,4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view="pageLayout" workbookViewId="0" topLeftCell="A1">
      <selection activeCell="A24" sqref="A24:A28"/>
    </sheetView>
  </sheetViews>
  <sheetFormatPr defaultColWidth="9.140625" defaultRowHeight="15"/>
  <cols>
    <col min="1" max="1" width="41.00390625" style="703" customWidth="1"/>
    <col min="2" max="4" width="14.7109375" style="704" customWidth="1"/>
    <col min="5" max="16384" width="9.140625" style="689" customWidth="1"/>
  </cols>
  <sheetData>
    <row r="2" spans="1:4" ht="15">
      <c r="A2" s="1653" t="s">
        <v>728</v>
      </c>
      <c r="B2" s="1653"/>
      <c r="C2" s="1653"/>
      <c r="D2" s="1653"/>
    </row>
    <row r="3" spans="1:4" ht="15.75" thickBot="1">
      <c r="A3" s="690"/>
      <c r="B3" s="691"/>
      <c r="C3" s="691"/>
      <c r="D3" s="691"/>
    </row>
    <row r="4" spans="1:4" ht="15.75" thickBot="1">
      <c r="A4" s="692" t="s">
        <v>3</v>
      </c>
      <c r="B4" s="705" t="s">
        <v>4</v>
      </c>
      <c r="C4" s="706" t="s">
        <v>895</v>
      </c>
      <c r="D4" s="707" t="s">
        <v>931</v>
      </c>
    </row>
    <row r="5" spans="1:4" ht="15">
      <c r="A5" s="693" t="s">
        <v>729</v>
      </c>
      <c r="B5" s="708">
        <f>B7+B10+B14</f>
        <v>115000</v>
      </c>
      <c r="C5" s="709">
        <f aca="true" t="shared" si="0" ref="C5:D5">C7+C10+C14</f>
        <v>225078</v>
      </c>
      <c r="D5" s="710">
        <f t="shared" si="0"/>
        <v>216423</v>
      </c>
    </row>
    <row r="6" spans="1:4" s="695" customFormat="1" ht="14.25">
      <c r="A6" s="694"/>
      <c r="B6" s="711"/>
      <c r="C6" s="712"/>
      <c r="D6" s="713"/>
    </row>
    <row r="7" spans="1:4" s="695" customFormat="1" ht="14.25">
      <c r="A7" s="696" t="s">
        <v>730</v>
      </c>
      <c r="B7" s="714">
        <f>B8</f>
        <v>15000</v>
      </c>
      <c r="C7" s="715">
        <f aca="true" t="shared" si="1" ref="C7">C8</f>
        <v>4135</v>
      </c>
      <c r="D7" s="716">
        <f>D8</f>
        <v>3728</v>
      </c>
    </row>
    <row r="8" spans="1:7" s="698" customFormat="1" ht="15">
      <c r="A8" s="697" t="s">
        <v>730</v>
      </c>
      <c r="B8" s="717">
        <v>15000</v>
      </c>
      <c r="C8" s="718">
        <v>4135</v>
      </c>
      <c r="D8" s="719">
        <v>3728</v>
      </c>
      <c r="E8" s="992"/>
      <c r="G8" s="992"/>
    </row>
    <row r="9" spans="1:4" ht="15">
      <c r="A9" s="697"/>
      <c r="B9" s="717"/>
      <c r="C9" s="718"/>
      <c r="D9" s="719"/>
    </row>
    <row r="10" spans="1:4" ht="15">
      <c r="A10" s="696" t="s">
        <v>731</v>
      </c>
      <c r="B10" s="714">
        <f>B11</f>
        <v>100000</v>
      </c>
      <c r="C10" s="715">
        <f aca="true" t="shared" si="2" ref="C10:D10">C11</f>
        <v>211600</v>
      </c>
      <c r="D10" s="716">
        <f t="shared" si="2"/>
        <v>203352</v>
      </c>
    </row>
    <row r="11" spans="1:5" s="698" customFormat="1" ht="15">
      <c r="A11" s="697" t="s">
        <v>731</v>
      </c>
      <c r="B11" s="717">
        <v>100000</v>
      </c>
      <c r="C11" s="718">
        <v>211600</v>
      </c>
      <c r="D11" s="719">
        <v>203352</v>
      </c>
      <c r="E11" s="992"/>
    </row>
    <row r="12" spans="1:5" s="998" customFormat="1" ht="15">
      <c r="A12" s="993" t="s">
        <v>805</v>
      </c>
      <c r="B12" s="994"/>
      <c r="C12" s="995">
        <v>97510</v>
      </c>
      <c r="D12" s="996">
        <v>97510</v>
      </c>
      <c r="E12" s="997"/>
    </row>
    <row r="13" spans="1:4" s="698" customFormat="1" ht="15">
      <c r="A13" s="697"/>
      <c r="B13" s="717"/>
      <c r="C13" s="718"/>
      <c r="D13" s="719"/>
    </row>
    <row r="14" spans="1:4" s="698" customFormat="1" ht="14.25">
      <c r="A14" s="696" t="s">
        <v>732</v>
      </c>
      <c r="B14" s="714">
        <f>B15</f>
        <v>0</v>
      </c>
      <c r="C14" s="715">
        <f aca="true" t="shared" si="3" ref="C14:D14">C15</f>
        <v>9343</v>
      </c>
      <c r="D14" s="716">
        <f t="shared" si="3"/>
        <v>9343</v>
      </c>
    </row>
    <row r="15" spans="1:7" ht="15">
      <c r="A15" s="697" t="s">
        <v>733</v>
      </c>
      <c r="B15" s="717"/>
      <c r="C15" s="718">
        <v>9343</v>
      </c>
      <c r="D15" s="719">
        <v>9343</v>
      </c>
      <c r="E15" s="704"/>
      <c r="F15" s="704"/>
      <c r="G15" s="704"/>
    </row>
    <row r="16" spans="1:6" ht="15">
      <c r="A16" s="697"/>
      <c r="B16" s="720"/>
      <c r="C16" s="721"/>
      <c r="D16" s="722"/>
      <c r="F16" s="704"/>
    </row>
    <row r="17" spans="1:4" ht="15">
      <c r="A17" s="696" t="s">
        <v>734</v>
      </c>
      <c r="B17" s="714">
        <f>B19</f>
        <v>50000</v>
      </c>
      <c r="C17" s="715">
        <f aca="true" t="shared" si="4" ref="C17:D17">C19</f>
        <v>0</v>
      </c>
      <c r="D17" s="716">
        <f t="shared" si="4"/>
        <v>0</v>
      </c>
    </row>
    <row r="18" spans="1:4" ht="15">
      <c r="A18" s="696"/>
      <c r="B18" s="714"/>
      <c r="C18" s="715"/>
      <c r="D18" s="716"/>
    </row>
    <row r="19" spans="1:4" ht="15">
      <c r="A19" s="696" t="s">
        <v>735</v>
      </c>
      <c r="B19" s="714">
        <f>B20</f>
        <v>50000</v>
      </c>
      <c r="C19" s="715">
        <f aca="true" t="shared" si="5" ref="C19:D19">C20</f>
        <v>0</v>
      </c>
      <c r="D19" s="716">
        <f t="shared" si="5"/>
        <v>0</v>
      </c>
    </row>
    <row r="20" spans="1:5" ht="15">
      <c r="A20" s="697" t="s">
        <v>735</v>
      </c>
      <c r="B20" s="717">
        <v>50000</v>
      </c>
      <c r="C20" s="718">
        <v>0</v>
      </c>
      <c r="D20" s="719">
        <v>0</v>
      </c>
      <c r="E20" s="704"/>
    </row>
    <row r="21" spans="1:4" ht="15.75" thickBot="1">
      <c r="A21" s="699"/>
      <c r="B21" s="723"/>
      <c r="C21" s="724"/>
      <c r="D21" s="725"/>
    </row>
    <row r="22" spans="1:4" ht="15.75" thickBot="1">
      <c r="A22" s="700" t="s">
        <v>736</v>
      </c>
      <c r="B22" s="726">
        <f>B5+B17</f>
        <v>165000</v>
      </c>
      <c r="C22" s="727">
        <f aca="true" t="shared" si="6" ref="C22:D22">C5+C17</f>
        <v>225078</v>
      </c>
      <c r="D22" s="728">
        <f t="shared" si="6"/>
        <v>216423</v>
      </c>
    </row>
    <row r="23" spans="1:4" s="698" customFormat="1" ht="14.25">
      <c r="A23" s="701"/>
      <c r="B23" s="702"/>
      <c r="C23" s="702"/>
      <c r="D23" s="702"/>
    </row>
    <row r="24" ht="15">
      <c r="A24" s="1423" t="s">
        <v>995</v>
      </c>
    </row>
    <row r="25" ht="15">
      <c r="A25" s="1423" t="s">
        <v>996</v>
      </c>
    </row>
    <row r="26" ht="15">
      <c r="A26" s="1423" t="s">
        <v>997</v>
      </c>
    </row>
    <row r="27" ht="15">
      <c r="A27" s="1423" t="s">
        <v>998</v>
      </c>
    </row>
    <row r="28" ht="15">
      <c r="A28" s="1423" t="s">
        <v>999</v>
      </c>
    </row>
  </sheetData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&amp;L&amp;"Times New Roman,Normál"&amp;8 16. melléklet 1,2,3,4</oddHeader>
    <oddFooter>&amp;L
27/2017 (XII.21.) önk.rend. Hat: 2018.01.01. napjától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view="pageLayout" workbookViewId="0" topLeftCell="A22">
      <selection activeCell="B9" sqref="B9"/>
    </sheetView>
  </sheetViews>
  <sheetFormatPr defaultColWidth="9.140625" defaultRowHeight="15"/>
  <cols>
    <col min="1" max="1" width="62.57421875" style="383" customWidth="1"/>
    <col min="2" max="2" width="35.00390625" style="383" bestFit="1" customWidth="1"/>
    <col min="3" max="3" width="11.7109375" style="383" bestFit="1" customWidth="1"/>
    <col min="4" max="4" width="13.7109375" style="383" bestFit="1" customWidth="1"/>
    <col min="5" max="5" width="10.140625" style="383" bestFit="1" customWidth="1"/>
    <col min="6" max="6" width="8.421875" style="383" bestFit="1" customWidth="1"/>
    <col min="7" max="7" width="12.00390625" style="383" customWidth="1"/>
    <col min="8" max="8" width="10.140625" style="383" bestFit="1" customWidth="1"/>
    <col min="9" max="9" width="12.57421875" style="383" customWidth="1"/>
    <col min="10" max="10" width="12.00390625" style="383" bestFit="1" customWidth="1"/>
    <col min="11" max="258" width="9.140625" style="383" customWidth="1"/>
    <col min="259" max="259" width="78.7109375" style="383" customWidth="1"/>
    <col min="260" max="260" width="55.140625" style="383" customWidth="1"/>
    <col min="261" max="261" width="34.00390625" style="383" customWidth="1"/>
    <col min="262" max="262" width="31.421875" style="383" customWidth="1"/>
    <col min="263" max="263" width="18.7109375" style="383" customWidth="1"/>
    <col min="264" max="264" width="13.00390625" style="383" customWidth="1"/>
    <col min="265" max="265" width="16.28125" style="383" customWidth="1"/>
    <col min="266" max="266" width="21.57421875" style="383" bestFit="1" customWidth="1"/>
    <col min="267" max="514" width="9.140625" style="383" customWidth="1"/>
    <col min="515" max="515" width="78.7109375" style="383" customWidth="1"/>
    <col min="516" max="516" width="55.140625" style="383" customWidth="1"/>
    <col min="517" max="517" width="34.00390625" style="383" customWidth="1"/>
    <col min="518" max="518" width="31.421875" style="383" customWidth="1"/>
    <col min="519" max="519" width="18.7109375" style="383" customWidth="1"/>
    <col min="520" max="520" width="13.00390625" style="383" customWidth="1"/>
    <col min="521" max="521" width="16.28125" style="383" customWidth="1"/>
    <col min="522" max="522" width="21.57421875" style="383" bestFit="1" customWidth="1"/>
    <col min="523" max="770" width="9.140625" style="383" customWidth="1"/>
    <col min="771" max="771" width="78.7109375" style="383" customWidth="1"/>
    <col min="772" max="772" width="55.140625" style="383" customWidth="1"/>
    <col min="773" max="773" width="34.00390625" style="383" customWidth="1"/>
    <col min="774" max="774" width="31.421875" style="383" customWidth="1"/>
    <col min="775" max="775" width="18.7109375" style="383" customWidth="1"/>
    <col min="776" max="776" width="13.00390625" style="383" customWidth="1"/>
    <col min="777" max="777" width="16.28125" style="383" customWidth="1"/>
    <col min="778" max="778" width="21.57421875" style="383" bestFit="1" customWidth="1"/>
    <col min="779" max="1026" width="9.140625" style="383" customWidth="1"/>
    <col min="1027" max="1027" width="78.7109375" style="383" customWidth="1"/>
    <col min="1028" max="1028" width="55.140625" style="383" customWidth="1"/>
    <col min="1029" max="1029" width="34.00390625" style="383" customWidth="1"/>
    <col min="1030" max="1030" width="31.421875" style="383" customWidth="1"/>
    <col min="1031" max="1031" width="18.7109375" style="383" customWidth="1"/>
    <col min="1032" max="1032" width="13.00390625" style="383" customWidth="1"/>
    <col min="1033" max="1033" width="16.28125" style="383" customWidth="1"/>
    <col min="1034" max="1034" width="21.57421875" style="383" bestFit="1" customWidth="1"/>
    <col min="1035" max="1282" width="9.140625" style="383" customWidth="1"/>
    <col min="1283" max="1283" width="78.7109375" style="383" customWidth="1"/>
    <col min="1284" max="1284" width="55.140625" style="383" customWidth="1"/>
    <col min="1285" max="1285" width="34.00390625" style="383" customWidth="1"/>
    <col min="1286" max="1286" width="31.421875" style="383" customWidth="1"/>
    <col min="1287" max="1287" width="18.7109375" style="383" customWidth="1"/>
    <col min="1288" max="1288" width="13.00390625" style="383" customWidth="1"/>
    <col min="1289" max="1289" width="16.28125" style="383" customWidth="1"/>
    <col min="1290" max="1290" width="21.57421875" style="383" bestFit="1" customWidth="1"/>
    <col min="1291" max="1538" width="9.140625" style="383" customWidth="1"/>
    <col min="1539" max="1539" width="78.7109375" style="383" customWidth="1"/>
    <col min="1540" max="1540" width="55.140625" style="383" customWidth="1"/>
    <col min="1541" max="1541" width="34.00390625" style="383" customWidth="1"/>
    <col min="1542" max="1542" width="31.421875" style="383" customWidth="1"/>
    <col min="1543" max="1543" width="18.7109375" style="383" customWidth="1"/>
    <col min="1544" max="1544" width="13.00390625" style="383" customWidth="1"/>
    <col min="1545" max="1545" width="16.28125" style="383" customWidth="1"/>
    <col min="1546" max="1546" width="21.57421875" style="383" bestFit="1" customWidth="1"/>
    <col min="1547" max="1794" width="9.140625" style="383" customWidth="1"/>
    <col min="1795" max="1795" width="78.7109375" style="383" customWidth="1"/>
    <col min="1796" max="1796" width="55.140625" style="383" customWidth="1"/>
    <col min="1797" max="1797" width="34.00390625" style="383" customWidth="1"/>
    <col min="1798" max="1798" width="31.421875" style="383" customWidth="1"/>
    <col min="1799" max="1799" width="18.7109375" style="383" customWidth="1"/>
    <col min="1800" max="1800" width="13.00390625" style="383" customWidth="1"/>
    <col min="1801" max="1801" width="16.28125" style="383" customWidth="1"/>
    <col min="1802" max="1802" width="21.57421875" style="383" bestFit="1" customWidth="1"/>
    <col min="1803" max="2050" width="9.140625" style="383" customWidth="1"/>
    <col min="2051" max="2051" width="78.7109375" style="383" customWidth="1"/>
    <col min="2052" max="2052" width="55.140625" style="383" customWidth="1"/>
    <col min="2053" max="2053" width="34.00390625" style="383" customWidth="1"/>
    <col min="2054" max="2054" width="31.421875" style="383" customWidth="1"/>
    <col min="2055" max="2055" width="18.7109375" style="383" customWidth="1"/>
    <col min="2056" max="2056" width="13.00390625" style="383" customWidth="1"/>
    <col min="2057" max="2057" width="16.28125" style="383" customWidth="1"/>
    <col min="2058" max="2058" width="21.57421875" style="383" bestFit="1" customWidth="1"/>
    <col min="2059" max="2306" width="9.140625" style="383" customWidth="1"/>
    <col min="2307" max="2307" width="78.7109375" style="383" customWidth="1"/>
    <col min="2308" max="2308" width="55.140625" style="383" customWidth="1"/>
    <col min="2309" max="2309" width="34.00390625" style="383" customWidth="1"/>
    <col min="2310" max="2310" width="31.421875" style="383" customWidth="1"/>
    <col min="2311" max="2311" width="18.7109375" style="383" customWidth="1"/>
    <col min="2312" max="2312" width="13.00390625" style="383" customWidth="1"/>
    <col min="2313" max="2313" width="16.28125" style="383" customWidth="1"/>
    <col min="2314" max="2314" width="21.57421875" style="383" bestFit="1" customWidth="1"/>
    <col min="2315" max="2562" width="9.140625" style="383" customWidth="1"/>
    <col min="2563" max="2563" width="78.7109375" style="383" customWidth="1"/>
    <col min="2564" max="2564" width="55.140625" style="383" customWidth="1"/>
    <col min="2565" max="2565" width="34.00390625" style="383" customWidth="1"/>
    <col min="2566" max="2566" width="31.421875" style="383" customWidth="1"/>
    <col min="2567" max="2567" width="18.7109375" style="383" customWidth="1"/>
    <col min="2568" max="2568" width="13.00390625" style="383" customWidth="1"/>
    <col min="2569" max="2569" width="16.28125" style="383" customWidth="1"/>
    <col min="2570" max="2570" width="21.57421875" style="383" bestFit="1" customWidth="1"/>
    <col min="2571" max="2818" width="9.140625" style="383" customWidth="1"/>
    <col min="2819" max="2819" width="78.7109375" style="383" customWidth="1"/>
    <col min="2820" max="2820" width="55.140625" style="383" customWidth="1"/>
    <col min="2821" max="2821" width="34.00390625" style="383" customWidth="1"/>
    <col min="2822" max="2822" width="31.421875" style="383" customWidth="1"/>
    <col min="2823" max="2823" width="18.7109375" style="383" customWidth="1"/>
    <col min="2824" max="2824" width="13.00390625" style="383" customWidth="1"/>
    <col min="2825" max="2825" width="16.28125" style="383" customWidth="1"/>
    <col min="2826" max="2826" width="21.57421875" style="383" bestFit="1" customWidth="1"/>
    <col min="2827" max="3074" width="9.140625" style="383" customWidth="1"/>
    <col min="3075" max="3075" width="78.7109375" style="383" customWidth="1"/>
    <col min="3076" max="3076" width="55.140625" style="383" customWidth="1"/>
    <col min="3077" max="3077" width="34.00390625" style="383" customWidth="1"/>
    <col min="3078" max="3078" width="31.421875" style="383" customWidth="1"/>
    <col min="3079" max="3079" width="18.7109375" style="383" customWidth="1"/>
    <col min="3080" max="3080" width="13.00390625" style="383" customWidth="1"/>
    <col min="3081" max="3081" width="16.28125" style="383" customWidth="1"/>
    <col min="3082" max="3082" width="21.57421875" style="383" bestFit="1" customWidth="1"/>
    <col min="3083" max="3330" width="9.140625" style="383" customWidth="1"/>
    <col min="3331" max="3331" width="78.7109375" style="383" customWidth="1"/>
    <col min="3332" max="3332" width="55.140625" style="383" customWidth="1"/>
    <col min="3333" max="3333" width="34.00390625" style="383" customWidth="1"/>
    <col min="3334" max="3334" width="31.421875" style="383" customWidth="1"/>
    <col min="3335" max="3335" width="18.7109375" style="383" customWidth="1"/>
    <col min="3336" max="3336" width="13.00390625" style="383" customWidth="1"/>
    <col min="3337" max="3337" width="16.28125" style="383" customWidth="1"/>
    <col min="3338" max="3338" width="21.57421875" style="383" bestFit="1" customWidth="1"/>
    <col min="3339" max="3586" width="9.140625" style="383" customWidth="1"/>
    <col min="3587" max="3587" width="78.7109375" style="383" customWidth="1"/>
    <col min="3588" max="3588" width="55.140625" style="383" customWidth="1"/>
    <col min="3589" max="3589" width="34.00390625" style="383" customWidth="1"/>
    <col min="3590" max="3590" width="31.421875" style="383" customWidth="1"/>
    <col min="3591" max="3591" width="18.7109375" style="383" customWidth="1"/>
    <col min="3592" max="3592" width="13.00390625" style="383" customWidth="1"/>
    <col min="3593" max="3593" width="16.28125" style="383" customWidth="1"/>
    <col min="3594" max="3594" width="21.57421875" style="383" bestFit="1" customWidth="1"/>
    <col min="3595" max="3842" width="9.140625" style="383" customWidth="1"/>
    <col min="3843" max="3843" width="78.7109375" style="383" customWidth="1"/>
    <col min="3844" max="3844" width="55.140625" style="383" customWidth="1"/>
    <col min="3845" max="3845" width="34.00390625" style="383" customWidth="1"/>
    <col min="3846" max="3846" width="31.421875" style="383" customWidth="1"/>
    <col min="3847" max="3847" width="18.7109375" style="383" customWidth="1"/>
    <col min="3848" max="3848" width="13.00390625" style="383" customWidth="1"/>
    <col min="3849" max="3849" width="16.28125" style="383" customWidth="1"/>
    <col min="3850" max="3850" width="21.57421875" style="383" bestFit="1" customWidth="1"/>
    <col min="3851" max="4098" width="9.140625" style="383" customWidth="1"/>
    <col min="4099" max="4099" width="78.7109375" style="383" customWidth="1"/>
    <col min="4100" max="4100" width="55.140625" style="383" customWidth="1"/>
    <col min="4101" max="4101" width="34.00390625" style="383" customWidth="1"/>
    <col min="4102" max="4102" width="31.421875" style="383" customWidth="1"/>
    <col min="4103" max="4103" width="18.7109375" style="383" customWidth="1"/>
    <col min="4104" max="4104" width="13.00390625" style="383" customWidth="1"/>
    <col min="4105" max="4105" width="16.28125" style="383" customWidth="1"/>
    <col min="4106" max="4106" width="21.57421875" style="383" bestFit="1" customWidth="1"/>
    <col min="4107" max="4354" width="9.140625" style="383" customWidth="1"/>
    <col min="4355" max="4355" width="78.7109375" style="383" customWidth="1"/>
    <col min="4356" max="4356" width="55.140625" style="383" customWidth="1"/>
    <col min="4357" max="4357" width="34.00390625" style="383" customWidth="1"/>
    <col min="4358" max="4358" width="31.421875" style="383" customWidth="1"/>
    <col min="4359" max="4359" width="18.7109375" style="383" customWidth="1"/>
    <col min="4360" max="4360" width="13.00390625" style="383" customWidth="1"/>
    <col min="4361" max="4361" width="16.28125" style="383" customWidth="1"/>
    <col min="4362" max="4362" width="21.57421875" style="383" bestFit="1" customWidth="1"/>
    <col min="4363" max="4610" width="9.140625" style="383" customWidth="1"/>
    <col min="4611" max="4611" width="78.7109375" style="383" customWidth="1"/>
    <col min="4612" max="4612" width="55.140625" style="383" customWidth="1"/>
    <col min="4613" max="4613" width="34.00390625" style="383" customWidth="1"/>
    <col min="4614" max="4614" width="31.421875" style="383" customWidth="1"/>
    <col min="4615" max="4615" width="18.7109375" style="383" customWidth="1"/>
    <col min="4616" max="4616" width="13.00390625" style="383" customWidth="1"/>
    <col min="4617" max="4617" width="16.28125" style="383" customWidth="1"/>
    <col min="4618" max="4618" width="21.57421875" style="383" bestFit="1" customWidth="1"/>
    <col min="4619" max="4866" width="9.140625" style="383" customWidth="1"/>
    <col min="4867" max="4867" width="78.7109375" style="383" customWidth="1"/>
    <col min="4868" max="4868" width="55.140625" style="383" customWidth="1"/>
    <col min="4869" max="4869" width="34.00390625" style="383" customWidth="1"/>
    <col min="4870" max="4870" width="31.421875" style="383" customWidth="1"/>
    <col min="4871" max="4871" width="18.7109375" style="383" customWidth="1"/>
    <col min="4872" max="4872" width="13.00390625" style="383" customWidth="1"/>
    <col min="4873" max="4873" width="16.28125" style="383" customWidth="1"/>
    <col min="4874" max="4874" width="21.57421875" style="383" bestFit="1" customWidth="1"/>
    <col min="4875" max="5122" width="9.140625" style="383" customWidth="1"/>
    <col min="5123" max="5123" width="78.7109375" style="383" customWidth="1"/>
    <col min="5124" max="5124" width="55.140625" style="383" customWidth="1"/>
    <col min="5125" max="5125" width="34.00390625" style="383" customWidth="1"/>
    <col min="5126" max="5126" width="31.421875" style="383" customWidth="1"/>
    <col min="5127" max="5127" width="18.7109375" style="383" customWidth="1"/>
    <col min="5128" max="5128" width="13.00390625" style="383" customWidth="1"/>
    <col min="5129" max="5129" width="16.28125" style="383" customWidth="1"/>
    <col min="5130" max="5130" width="21.57421875" style="383" bestFit="1" customWidth="1"/>
    <col min="5131" max="5378" width="9.140625" style="383" customWidth="1"/>
    <col min="5379" max="5379" width="78.7109375" style="383" customWidth="1"/>
    <col min="5380" max="5380" width="55.140625" style="383" customWidth="1"/>
    <col min="5381" max="5381" width="34.00390625" style="383" customWidth="1"/>
    <col min="5382" max="5382" width="31.421875" style="383" customWidth="1"/>
    <col min="5383" max="5383" width="18.7109375" style="383" customWidth="1"/>
    <col min="5384" max="5384" width="13.00390625" style="383" customWidth="1"/>
    <col min="5385" max="5385" width="16.28125" style="383" customWidth="1"/>
    <col min="5386" max="5386" width="21.57421875" style="383" bestFit="1" customWidth="1"/>
    <col min="5387" max="5634" width="9.140625" style="383" customWidth="1"/>
    <col min="5635" max="5635" width="78.7109375" style="383" customWidth="1"/>
    <col min="5636" max="5636" width="55.140625" style="383" customWidth="1"/>
    <col min="5637" max="5637" width="34.00390625" style="383" customWidth="1"/>
    <col min="5638" max="5638" width="31.421875" style="383" customWidth="1"/>
    <col min="5639" max="5639" width="18.7109375" style="383" customWidth="1"/>
    <col min="5640" max="5640" width="13.00390625" style="383" customWidth="1"/>
    <col min="5641" max="5641" width="16.28125" style="383" customWidth="1"/>
    <col min="5642" max="5642" width="21.57421875" style="383" bestFit="1" customWidth="1"/>
    <col min="5643" max="5890" width="9.140625" style="383" customWidth="1"/>
    <col min="5891" max="5891" width="78.7109375" style="383" customWidth="1"/>
    <col min="5892" max="5892" width="55.140625" style="383" customWidth="1"/>
    <col min="5893" max="5893" width="34.00390625" style="383" customWidth="1"/>
    <col min="5894" max="5894" width="31.421875" style="383" customWidth="1"/>
    <col min="5895" max="5895" width="18.7109375" style="383" customWidth="1"/>
    <col min="5896" max="5896" width="13.00390625" style="383" customWidth="1"/>
    <col min="5897" max="5897" width="16.28125" style="383" customWidth="1"/>
    <col min="5898" max="5898" width="21.57421875" style="383" bestFit="1" customWidth="1"/>
    <col min="5899" max="6146" width="9.140625" style="383" customWidth="1"/>
    <col min="6147" max="6147" width="78.7109375" style="383" customWidth="1"/>
    <col min="6148" max="6148" width="55.140625" style="383" customWidth="1"/>
    <col min="6149" max="6149" width="34.00390625" style="383" customWidth="1"/>
    <col min="6150" max="6150" width="31.421875" style="383" customWidth="1"/>
    <col min="6151" max="6151" width="18.7109375" style="383" customWidth="1"/>
    <col min="6152" max="6152" width="13.00390625" style="383" customWidth="1"/>
    <col min="6153" max="6153" width="16.28125" style="383" customWidth="1"/>
    <col min="6154" max="6154" width="21.57421875" style="383" bestFit="1" customWidth="1"/>
    <col min="6155" max="6402" width="9.140625" style="383" customWidth="1"/>
    <col min="6403" max="6403" width="78.7109375" style="383" customWidth="1"/>
    <col min="6404" max="6404" width="55.140625" style="383" customWidth="1"/>
    <col min="6405" max="6405" width="34.00390625" style="383" customWidth="1"/>
    <col min="6406" max="6406" width="31.421875" style="383" customWidth="1"/>
    <col min="6407" max="6407" width="18.7109375" style="383" customWidth="1"/>
    <col min="6408" max="6408" width="13.00390625" style="383" customWidth="1"/>
    <col min="6409" max="6409" width="16.28125" style="383" customWidth="1"/>
    <col min="6410" max="6410" width="21.57421875" style="383" bestFit="1" customWidth="1"/>
    <col min="6411" max="6658" width="9.140625" style="383" customWidth="1"/>
    <col min="6659" max="6659" width="78.7109375" style="383" customWidth="1"/>
    <col min="6660" max="6660" width="55.140625" style="383" customWidth="1"/>
    <col min="6661" max="6661" width="34.00390625" style="383" customWidth="1"/>
    <col min="6662" max="6662" width="31.421875" style="383" customWidth="1"/>
    <col min="6663" max="6663" width="18.7109375" style="383" customWidth="1"/>
    <col min="6664" max="6664" width="13.00390625" style="383" customWidth="1"/>
    <col min="6665" max="6665" width="16.28125" style="383" customWidth="1"/>
    <col min="6666" max="6666" width="21.57421875" style="383" bestFit="1" customWidth="1"/>
    <col min="6667" max="6914" width="9.140625" style="383" customWidth="1"/>
    <col min="6915" max="6915" width="78.7109375" style="383" customWidth="1"/>
    <col min="6916" max="6916" width="55.140625" style="383" customWidth="1"/>
    <col min="6917" max="6917" width="34.00390625" style="383" customWidth="1"/>
    <col min="6918" max="6918" width="31.421875" style="383" customWidth="1"/>
    <col min="6919" max="6919" width="18.7109375" style="383" customWidth="1"/>
    <col min="6920" max="6920" width="13.00390625" style="383" customWidth="1"/>
    <col min="6921" max="6921" width="16.28125" style="383" customWidth="1"/>
    <col min="6922" max="6922" width="21.57421875" style="383" bestFit="1" customWidth="1"/>
    <col min="6923" max="7170" width="9.140625" style="383" customWidth="1"/>
    <col min="7171" max="7171" width="78.7109375" style="383" customWidth="1"/>
    <col min="7172" max="7172" width="55.140625" style="383" customWidth="1"/>
    <col min="7173" max="7173" width="34.00390625" style="383" customWidth="1"/>
    <col min="7174" max="7174" width="31.421875" style="383" customWidth="1"/>
    <col min="7175" max="7175" width="18.7109375" style="383" customWidth="1"/>
    <col min="7176" max="7176" width="13.00390625" style="383" customWidth="1"/>
    <col min="7177" max="7177" width="16.28125" style="383" customWidth="1"/>
    <col min="7178" max="7178" width="21.57421875" style="383" bestFit="1" customWidth="1"/>
    <col min="7179" max="7426" width="9.140625" style="383" customWidth="1"/>
    <col min="7427" max="7427" width="78.7109375" style="383" customWidth="1"/>
    <col min="7428" max="7428" width="55.140625" style="383" customWidth="1"/>
    <col min="7429" max="7429" width="34.00390625" style="383" customWidth="1"/>
    <col min="7430" max="7430" width="31.421875" style="383" customWidth="1"/>
    <col min="7431" max="7431" width="18.7109375" style="383" customWidth="1"/>
    <col min="7432" max="7432" width="13.00390625" style="383" customWidth="1"/>
    <col min="7433" max="7433" width="16.28125" style="383" customWidth="1"/>
    <col min="7434" max="7434" width="21.57421875" style="383" bestFit="1" customWidth="1"/>
    <col min="7435" max="7682" width="9.140625" style="383" customWidth="1"/>
    <col min="7683" max="7683" width="78.7109375" style="383" customWidth="1"/>
    <col min="7684" max="7684" width="55.140625" style="383" customWidth="1"/>
    <col min="7685" max="7685" width="34.00390625" style="383" customWidth="1"/>
    <col min="7686" max="7686" width="31.421875" style="383" customWidth="1"/>
    <col min="7687" max="7687" width="18.7109375" style="383" customWidth="1"/>
    <col min="7688" max="7688" width="13.00390625" style="383" customWidth="1"/>
    <col min="7689" max="7689" width="16.28125" style="383" customWidth="1"/>
    <col min="7690" max="7690" width="21.57421875" style="383" bestFit="1" customWidth="1"/>
    <col min="7691" max="7938" width="9.140625" style="383" customWidth="1"/>
    <col min="7939" max="7939" width="78.7109375" style="383" customWidth="1"/>
    <col min="7940" max="7940" width="55.140625" style="383" customWidth="1"/>
    <col min="7941" max="7941" width="34.00390625" style="383" customWidth="1"/>
    <col min="7942" max="7942" width="31.421875" style="383" customWidth="1"/>
    <col min="7943" max="7943" width="18.7109375" style="383" customWidth="1"/>
    <col min="7944" max="7944" width="13.00390625" style="383" customWidth="1"/>
    <col min="7945" max="7945" width="16.28125" style="383" customWidth="1"/>
    <col min="7946" max="7946" width="21.57421875" style="383" bestFit="1" customWidth="1"/>
    <col min="7947" max="8194" width="9.140625" style="383" customWidth="1"/>
    <col min="8195" max="8195" width="78.7109375" style="383" customWidth="1"/>
    <col min="8196" max="8196" width="55.140625" style="383" customWidth="1"/>
    <col min="8197" max="8197" width="34.00390625" style="383" customWidth="1"/>
    <col min="8198" max="8198" width="31.421875" style="383" customWidth="1"/>
    <col min="8199" max="8199" width="18.7109375" style="383" customWidth="1"/>
    <col min="8200" max="8200" width="13.00390625" style="383" customWidth="1"/>
    <col min="8201" max="8201" width="16.28125" style="383" customWidth="1"/>
    <col min="8202" max="8202" width="21.57421875" style="383" bestFit="1" customWidth="1"/>
    <col min="8203" max="8450" width="9.140625" style="383" customWidth="1"/>
    <col min="8451" max="8451" width="78.7109375" style="383" customWidth="1"/>
    <col min="8452" max="8452" width="55.140625" style="383" customWidth="1"/>
    <col min="8453" max="8453" width="34.00390625" style="383" customWidth="1"/>
    <col min="8454" max="8454" width="31.421875" style="383" customWidth="1"/>
    <col min="8455" max="8455" width="18.7109375" style="383" customWidth="1"/>
    <col min="8456" max="8456" width="13.00390625" style="383" customWidth="1"/>
    <col min="8457" max="8457" width="16.28125" style="383" customWidth="1"/>
    <col min="8458" max="8458" width="21.57421875" style="383" bestFit="1" customWidth="1"/>
    <col min="8459" max="8706" width="9.140625" style="383" customWidth="1"/>
    <col min="8707" max="8707" width="78.7109375" style="383" customWidth="1"/>
    <col min="8708" max="8708" width="55.140625" style="383" customWidth="1"/>
    <col min="8709" max="8709" width="34.00390625" style="383" customWidth="1"/>
    <col min="8710" max="8710" width="31.421875" style="383" customWidth="1"/>
    <col min="8711" max="8711" width="18.7109375" style="383" customWidth="1"/>
    <col min="8712" max="8712" width="13.00390625" style="383" customWidth="1"/>
    <col min="8713" max="8713" width="16.28125" style="383" customWidth="1"/>
    <col min="8714" max="8714" width="21.57421875" style="383" bestFit="1" customWidth="1"/>
    <col min="8715" max="8962" width="9.140625" style="383" customWidth="1"/>
    <col min="8963" max="8963" width="78.7109375" style="383" customWidth="1"/>
    <col min="8964" max="8964" width="55.140625" style="383" customWidth="1"/>
    <col min="8965" max="8965" width="34.00390625" style="383" customWidth="1"/>
    <col min="8966" max="8966" width="31.421875" style="383" customWidth="1"/>
    <col min="8967" max="8967" width="18.7109375" style="383" customWidth="1"/>
    <col min="8968" max="8968" width="13.00390625" style="383" customWidth="1"/>
    <col min="8969" max="8969" width="16.28125" style="383" customWidth="1"/>
    <col min="8970" max="8970" width="21.57421875" style="383" bestFit="1" customWidth="1"/>
    <col min="8971" max="9218" width="9.140625" style="383" customWidth="1"/>
    <col min="9219" max="9219" width="78.7109375" style="383" customWidth="1"/>
    <col min="9220" max="9220" width="55.140625" style="383" customWidth="1"/>
    <col min="9221" max="9221" width="34.00390625" style="383" customWidth="1"/>
    <col min="9222" max="9222" width="31.421875" style="383" customWidth="1"/>
    <col min="9223" max="9223" width="18.7109375" style="383" customWidth="1"/>
    <col min="9224" max="9224" width="13.00390625" style="383" customWidth="1"/>
    <col min="9225" max="9225" width="16.28125" style="383" customWidth="1"/>
    <col min="9226" max="9226" width="21.57421875" style="383" bestFit="1" customWidth="1"/>
    <col min="9227" max="9474" width="9.140625" style="383" customWidth="1"/>
    <col min="9475" max="9475" width="78.7109375" style="383" customWidth="1"/>
    <col min="9476" max="9476" width="55.140625" style="383" customWidth="1"/>
    <col min="9477" max="9477" width="34.00390625" style="383" customWidth="1"/>
    <col min="9478" max="9478" width="31.421875" style="383" customWidth="1"/>
    <col min="9479" max="9479" width="18.7109375" style="383" customWidth="1"/>
    <col min="9480" max="9480" width="13.00390625" style="383" customWidth="1"/>
    <col min="9481" max="9481" width="16.28125" style="383" customWidth="1"/>
    <col min="9482" max="9482" width="21.57421875" style="383" bestFit="1" customWidth="1"/>
    <col min="9483" max="9730" width="9.140625" style="383" customWidth="1"/>
    <col min="9731" max="9731" width="78.7109375" style="383" customWidth="1"/>
    <col min="9732" max="9732" width="55.140625" style="383" customWidth="1"/>
    <col min="9733" max="9733" width="34.00390625" style="383" customWidth="1"/>
    <col min="9734" max="9734" width="31.421875" style="383" customWidth="1"/>
    <col min="9735" max="9735" width="18.7109375" style="383" customWidth="1"/>
    <col min="9736" max="9736" width="13.00390625" style="383" customWidth="1"/>
    <col min="9737" max="9737" width="16.28125" style="383" customWidth="1"/>
    <col min="9738" max="9738" width="21.57421875" style="383" bestFit="1" customWidth="1"/>
    <col min="9739" max="9986" width="9.140625" style="383" customWidth="1"/>
    <col min="9987" max="9987" width="78.7109375" style="383" customWidth="1"/>
    <col min="9988" max="9988" width="55.140625" style="383" customWidth="1"/>
    <col min="9989" max="9989" width="34.00390625" style="383" customWidth="1"/>
    <col min="9990" max="9990" width="31.421875" style="383" customWidth="1"/>
    <col min="9991" max="9991" width="18.7109375" style="383" customWidth="1"/>
    <col min="9992" max="9992" width="13.00390625" style="383" customWidth="1"/>
    <col min="9993" max="9993" width="16.28125" style="383" customWidth="1"/>
    <col min="9994" max="9994" width="21.57421875" style="383" bestFit="1" customWidth="1"/>
    <col min="9995" max="10242" width="9.140625" style="383" customWidth="1"/>
    <col min="10243" max="10243" width="78.7109375" style="383" customWidth="1"/>
    <col min="10244" max="10244" width="55.140625" style="383" customWidth="1"/>
    <col min="10245" max="10245" width="34.00390625" style="383" customWidth="1"/>
    <col min="10246" max="10246" width="31.421875" style="383" customWidth="1"/>
    <col min="10247" max="10247" width="18.7109375" style="383" customWidth="1"/>
    <col min="10248" max="10248" width="13.00390625" style="383" customWidth="1"/>
    <col min="10249" max="10249" width="16.28125" style="383" customWidth="1"/>
    <col min="10250" max="10250" width="21.57421875" style="383" bestFit="1" customWidth="1"/>
    <col min="10251" max="10498" width="9.140625" style="383" customWidth="1"/>
    <col min="10499" max="10499" width="78.7109375" style="383" customWidth="1"/>
    <col min="10500" max="10500" width="55.140625" style="383" customWidth="1"/>
    <col min="10501" max="10501" width="34.00390625" style="383" customWidth="1"/>
    <col min="10502" max="10502" width="31.421875" style="383" customWidth="1"/>
    <col min="10503" max="10503" width="18.7109375" style="383" customWidth="1"/>
    <col min="10504" max="10504" width="13.00390625" style="383" customWidth="1"/>
    <col min="10505" max="10505" width="16.28125" style="383" customWidth="1"/>
    <col min="10506" max="10506" width="21.57421875" style="383" bestFit="1" customWidth="1"/>
    <col min="10507" max="10754" width="9.140625" style="383" customWidth="1"/>
    <col min="10755" max="10755" width="78.7109375" style="383" customWidth="1"/>
    <col min="10756" max="10756" width="55.140625" style="383" customWidth="1"/>
    <col min="10757" max="10757" width="34.00390625" style="383" customWidth="1"/>
    <col min="10758" max="10758" width="31.421875" style="383" customWidth="1"/>
    <col min="10759" max="10759" width="18.7109375" style="383" customWidth="1"/>
    <col min="10760" max="10760" width="13.00390625" style="383" customWidth="1"/>
    <col min="10761" max="10761" width="16.28125" style="383" customWidth="1"/>
    <col min="10762" max="10762" width="21.57421875" style="383" bestFit="1" customWidth="1"/>
    <col min="10763" max="11010" width="9.140625" style="383" customWidth="1"/>
    <col min="11011" max="11011" width="78.7109375" style="383" customWidth="1"/>
    <col min="11012" max="11012" width="55.140625" style="383" customWidth="1"/>
    <col min="11013" max="11013" width="34.00390625" style="383" customWidth="1"/>
    <col min="11014" max="11014" width="31.421875" style="383" customWidth="1"/>
    <col min="11015" max="11015" width="18.7109375" style="383" customWidth="1"/>
    <col min="11016" max="11016" width="13.00390625" style="383" customWidth="1"/>
    <col min="11017" max="11017" width="16.28125" style="383" customWidth="1"/>
    <col min="11018" max="11018" width="21.57421875" style="383" bestFit="1" customWidth="1"/>
    <col min="11019" max="11266" width="9.140625" style="383" customWidth="1"/>
    <col min="11267" max="11267" width="78.7109375" style="383" customWidth="1"/>
    <col min="11268" max="11268" width="55.140625" style="383" customWidth="1"/>
    <col min="11269" max="11269" width="34.00390625" style="383" customWidth="1"/>
    <col min="11270" max="11270" width="31.421875" style="383" customWidth="1"/>
    <col min="11271" max="11271" width="18.7109375" style="383" customWidth="1"/>
    <col min="11272" max="11272" width="13.00390625" style="383" customWidth="1"/>
    <col min="11273" max="11273" width="16.28125" style="383" customWidth="1"/>
    <col min="11274" max="11274" width="21.57421875" style="383" bestFit="1" customWidth="1"/>
    <col min="11275" max="11522" width="9.140625" style="383" customWidth="1"/>
    <col min="11523" max="11523" width="78.7109375" style="383" customWidth="1"/>
    <col min="11524" max="11524" width="55.140625" style="383" customWidth="1"/>
    <col min="11525" max="11525" width="34.00390625" style="383" customWidth="1"/>
    <col min="11526" max="11526" width="31.421875" style="383" customWidth="1"/>
    <col min="11527" max="11527" width="18.7109375" style="383" customWidth="1"/>
    <col min="11528" max="11528" width="13.00390625" style="383" customWidth="1"/>
    <col min="11529" max="11529" width="16.28125" style="383" customWidth="1"/>
    <col min="11530" max="11530" width="21.57421875" style="383" bestFit="1" customWidth="1"/>
    <col min="11531" max="11778" width="9.140625" style="383" customWidth="1"/>
    <col min="11779" max="11779" width="78.7109375" style="383" customWidth="1"/>
    <col min="11780" max="11780" width="55.140625" style="383" customWidth="1"/>
    <col min="11781" max="11781" width="34.00390625" style="383" customWidth="1"/>
    <col min="11782" max="11782" width="31.421875" style="383" customWidth="1"/>
    <col min="11783" max="11783" width="18.7109375" style="383" customWidth="1"/>
    <col min="11784" max="11784" width="13.00390625" style="383" customWidth="1"/>
    <col min="11785" max="11785" width="16.28125" style="383" customWidth="1"/>
    <col min="11786" max="11786" width="21.57421875" style="383" bestFit="1" customWidth="1"/>
    <col min="11787" max="12034" width="9.140625" style="383" customWidth="1"/>
    <col min="12035" max="12035" width="78.7109375" style="383" customWidth="1"/>
    <col min="12036" max="12036" width="55.140625" style="383" customWidth="1"/>
    <col min="12037" max="12037" width="34.00390625" style="383" customWidth="1"/>
    <col min="12038" max="12038" width="31.421875" style="383" customWidth="1"/>
    <col min="12039" max="12039" width="18.7109375" style="383" customWidth="1"/>
    <col min="12040" max="12040" width="13.00390625" style="383" customWidth="1"/>
    <col min="12041" max="12041" width="16.28125" style="383" customWidth="1"/>
    <col min="12042" max="12042" width="21.57421875" style="383" bestFit="1" customWidth="1"/>
    <col min="12043" max="12290" width="9.140625" style="383" customWidth="1"/>
    <col min="12291" max="12291" width="78.7109375" style="383" customWidth="1"/>
    <col min="12292" max="12292" width="55.140625" style="383" customWidth="1"/>
    <col min="12293" max="12293" width="34.00390625" style="383" customWidth="1"/>
    <col min="12294" max="12294" width="31.421875" style="383" customWidth="1"/>
    <col min="12295" max="12295" width="18.7109375" style="383" customWidth="1"/>
    <col min="12296" max="12296" width="13.00390625" style="383" customWidth="1"/>
    <col min="12297" max="12297" width="16.28125" style="383" customWidth="1"/>
    <col min="12298" max="12298" width="21.57421875" style="383" bestFit="1" customWidth="1"/>
    <col min="12299" max="12546" width="9.140625" style="383" customWidth="1"/>
    <col min="12547" max="12547" width="78.7109375" style="383" customWidth="1"/>
    <col min="12548" max="12548" width="55.140625" style="383" customWidth="1"/>
    <col min="12549" max="12549" width="34.00390625" style="383" customWidth="1"/>
    <col min="12550" max="12550" width="31.421875" style="383" customWidth="1"/>
    <col min="12551" max="12551" width="18.7109375" style="383" customWidth="1"/>
    <col min="12552" max="12552" width="13.00390625" style="383" customWidth="1"/>
    <col min="12553" max="12553" width="16.28125" style="383" customWidth="1"/>
    <col min="12554" max="12554" width="21.57421875" style="383" bestFit="1" customWidth="1"/>
    <col min="12555" max="12802" width="9.140625" style="383" customWidth="1"/>
    <col min="12803" max="12803" width="78.7109375" style="383" customWidth="1"/>
    <col min="12804" max="12804" width="55.140625" style="383" customWidth="1"/>
    <col min="12805" max="12805" width="34.00390625" style="383" customWidth="1"/>
    <col min="12806" max="12806" width="31.421875" style="383" customWidth="1"/>
    <col min="12807" max="12807" width="18.7109375" style="383" customWidth="1"/>
    <col min="12808" max="12808" width="13.00390625" style="383" customWidth="1"/>
    <col min="12809" max="12809" width="16.28125" style="383" customWidth="1"/>
    <col min="12810" max="12810" width="21.57421875" style="383" bestFit="1" customWidth="1"/>
    <col min="12811" max="13058" width="9.140625" style="383" customWidth="1"/>
    <col min="13059" max="13059" width="78.7109375" style="383" customWidth="1"/>
    <col min="13060" max="13060" width="55.140625" style="383" customWidth="1"/>
    <col min="13061" max="13061" width="34.00390625" style="383" customWidth="1"/>
    <col min="13062" max="13062" width="31.421875" style="383" customWidth="1"/>
    <col min="13063" max="13063" width="18.7109375" style="383" customWidth="1"/>
    <col min="13064" max="13064" width="13.00390625" style="383" customWidth="1"/>
    <col min="13065" max="13065" width="16.28125" style="383" customWidth="1"/>
    <col min="13066" max="13066" width="21.57421875" style="383" bestFit="1" customWidth="1"/>
    <col min="13067" max="13314" width="9.140625" style="383" customWidth="1"/>
    <col min="13315" max="13315" width="78.7109375" style="383" customWidth="1"/>
    <col min="13316" max="13316" width="55.140625" style="383" customWidth="1"/>
    <col min="13317" max="13317" width="34.00390625" style="383" customWidth="1"/>
    <col min="13318" max="13318" width="31.421875" style="383" customWidth="1"/>
    <col min="13319" max="13319" width="18.7109375" style="383" customWidth="1"/>
    <col min="13320" max="13320" width="13.00390625" style="383" customWidth="1"/>
    <col min="13321" max="13321" width="16.28125" style="383" customWidth="1"/>
    <col min="13322" max="13322" width="21.57421875" style="383" bestFit="1" customWidth="1"/>
    <col min="13323" max="13570" width="9.140625" style="383" customWidth="1"/>
    <col min="13571" max="13571" width="78.7109375" style="383" customWidth="1"/>
    <col min="13572" max="13572" width="55.140625" style="383" customWidth="1"/>
    <col min="13573" max="13573" width="34.00390625" style="383" customWidth="1"/>
    <col min="13574" max="13574" width="31.421875" style="383" customWidth="1"/>
    <col min="13575" max="13575" width="18.7109375" style="383" customWidth="1"/>
    <col min="13576" max="13576" width="13.00390625" style="383" customWidth="1"/>
    <col min="13577" max="13577" width="16.28125" style="383" customWidth="1"/>
    <col min="13578" max="13578" width="21.57421875" style="383" bestFit="1" customWidth="1"/>
    <col min="13579" max="13826" width="9.140625" style="383" customWidth="1"/>
    <col min="13827" max="13827" width="78.7109375" style="383" customWidth="1"/>
    <col min="13828" max="13828" width="55.140625" style="383" customWidth="1"/>
    <col min="13829" max="13829" width="34.00390625" style="383" customWidth="1"/>
    <col min="13830" max="13830" width="31.421875" style="383" customWidth="1"/>
    <col min="13831" max="13831" width="18.7109375" style="383" customWidth="1"/>
    <col min="13832" max="13832" width="13.00390625" style="383" customWidth="1"/>
    <col min="13833" max="13833" width="16.28125" style="383" customWidth="1"/>
    <col min="13834" max="13834" width="21.57421875" style="383" bestFit="1" customWidth="1"/>
    <col min="13835" max="14082" width="9.140625" style="383" customWidth="1"/>
    <col min="14083" max="14083" width="78.7109375" style="383" customWidth="1"/>
    <col min="14084" max="14084" width="55.140625" style="383" customWidth="1"/>
    <col min="14085" max="14085" width="34.00390625" style="383" customWidth="1"/>
    <col min="14086" max="14086" width="31.421875" style="383" customWidth="1"/>
    <col min="14087" max="14087" width="18.7109375" style="383" customWidth="1"/>
    <col min="14088" max="14088" width="13.00390625" style="383" customWidth="1"/>
    <col min="14089" max="14089" width="16.28125" style="383" customWidth="1"/>
    <col min="14090" max="14090" width="21.57421875" style="383" bestFit="1" customWidth="1"/>
    <col min="14091" max="14338" width="9.140625" style="383" customWidth="1"/>
    <col min="14339" max="14339" width="78.7109375" style="383" customWidth="1"/>
    <col min="14340" max="14340" width="55.140625" style="383" customWidth="1"/>
    <col min="14341" max="14341" width="34.00390625" style="383" customWidth="1"/>
    <col min="14342" max="14342" width="31.421875" style="383" customWidth="1"/>
    <col min="14343" max="14343" width="18.7109375" style="383" customWidth="1"/>
    <col min="14344" max="14344" width="13.00390625" style="383" customWidth="1"/>
    <col min="14345" max="14345" width="16.28125" style="383" customWidth="1"/>
    <col min="14346" max="14346" width="21.57421875" style="383" bestFit="1" customWidth="1"/>
    <col min="14347" max="14594" width="9.140625" style="383" customWidth="1"/>
    <col min="14595" max="14595" width="78.7109375" style="383" customWidth="1"/>
    <col min="14596" max="14596" width="55.140625" style="383" customWidth="1"/>
    <col min="14597" max="14597" width="34.00390625" style="383" customWidth="1"/>
    <col min="14598" max="14598" width="31.421875" style="383" customWidth="1"/>
    <col min="14599" max="14599" width="18.7109375" style="383" customWidth="1"/>
    <col min="14600" max="14600" width="13.00390625" style="383" customWidth="1"/>
    <col min="14601" max="14601" width="16.28125" style="383" customWidth="1"/>
    <col min="14602" max="14602" width="21.57421875" style="383" bestFit="1" customWidth="1"/>
    <col min="14603" max="14850" width="9.140625" style="383" customWidth="1"/>
    <col min="14851" max="14851" width="78.7109375" style="383" customWidth="1"/>
    <col min="14852" max="14852" width="55.140625" style="383" customWidth="1"/>
    <col min="14853" max="14853" width="34.00390625" style="383" customWidth="1"/>
    <col min="14854" max="14854" width="31.421875" style="383" customWidth="1"/>
    <col min="14855" max="14855" width="18.7109375" style="383" customWidth="1"/>
    <col min="14856" max="14856" width="13.00390625" style="383" customWidth="1"/>
    <col min="14857" max="14857" width="16.28125" style="383" customWidth="1"/>
    <col min="14858" max="14858" width="21.57421875" style="383" bestFit="1" customWidth="1"/>
    <col min="14859" max="15106" width="9.140625" style="383" customWidth="1"/>
    <col min="15107" max="15107" width="78.7109375" style="383" customWidth="1"/>
    <col min="15108" max="15108" width="55.140625" style="383" customWidth="1"/>
    <col min="15109" max="15109" width="34.00390625" style="383" customWidth="1"/>
    <col min="15110" max="15110" width="31.421875" style="383" customWidth="1"/>
    <col min="15111" max="15111" width="18.7109375" style="383" customWidth="1"/>
    <col min="15112" max="15112" width="13.00390625" style="383" customWidth="1"/>
    <col min="15113" max="15113" width="16.28125" style="383" customWidth="1"/>
    <col min="15114" max="15114" width="21.57421875" style="383" bestFit="1" customWidth="1"/>
    <col min="15115" max="15362" width="9.140625" style="383" customWidth="1"/>
    <col min="15363" max="15363" width="78.7109375" style="383" customWidth="1"/>
    <col min="15364" max="15364" width="55.140625" style="383" customWidth="1"/>
    <col min="15365" max="15365" width="34.00390625" style="383" customWidth="1"/>
    <col min="15366" max="15366" width="31.421875" style="383" customWidth="1"/>
    <col min="15367" max="15367" width="18.7109375" style="383" customWidth="1"/>
    <col min="15368" max="15368" width="13.00390625" style="383" customWidth="1"/>
    <col min="15369" max="15369" width="16.28125" style="383" customWidth="1"/>
    <col min="15370" max="15370" width="21.57421875" style="383" bestFit="1" customWidth="1"/>
    <col min="15371" max="15618" width="9.140625" style="383" customWidth="1"/>
    <col min="15619" max="15619" width="78.7109375" style="383" customWidth="1"/>
    <col min="15620" max="15620" width="55.140625" style="383" customWidth="1"/>
    <col min="15621" max="15621" width="34.00390625" style="383" customWidth="1"/>
    <col min="15622" max="15622" width="31.421875" style="383" customWidth="1"/>
    <col min="15623" max="15623" width="18.7109375" style="383" customWidth="1"/>
    <col min="15624" max="15624" width="13.00390625" style="383" customWidth="1"/>
    <col min="15625" max="15625" width="16.28125" style="383" customWidth="1"/>
    <col min="15626" max="15626" width="21.57421875" style="383" bestFit="1" customWidth="1"/>
    <col min="15627" max="15874" width="9.140625" style="383" customWidth="1"/>
    <col min="15875" max="15875" width="78.7109375" style="383" customWidth="1"/>
    <col min="15876" max="15876" width="55.140625" style="383" customWidth="1"/>
    <col min="15877" max="15877" width="34.00390625" style="383" customWidth="1"/>
    <col min="15878" max="15878" width="31.421875" style="383" customWidth="1"/>
    <col min="15879" max="15879" width="18.7109375" style="383" customWidth="1"/>
    <col min="15880" max="15880" width="13.00390625" style="383" customWidth="1"/>
    <col min="15881" max="15881" width="16.28125" style="383" customWidth="1"/>
    <col min="15882" max="15882" width="21.57421875" style="383" bestFit="1" customWidth="1"/>
    <col min="15883" max="16130" width="9.140625" style="383" customWidth="1"/>
    <col min="16131" max="16131" width="78.7109375" style="383" customWidth="1"/>
    <col min="16132" max="16132" width="55.140625" style="383" customWidth="1"/>
    <col min="16133" max="16133" width="34.00390625" style="383" customWidth="1"/>
    <col min="16134" max="16134" width="31.421875" style="383" customWidth="1"/>
    <col min="16135" max="16135" width="18.7109375" style="383" customWidth="1"/>
    <col min="16136" max="16136" width="13.00390625" style="383" customWidth="1"/>
    <col min="16137" max="16137" width="16.28125" style="383" customWidth="1"/>
    <col min="16138" max="16138" width="21.57421875" style="383" bestFit="1" customWidth="1"/>
    <col min="16139" max="16384" width="9.140625" style="383" customWidth="1"/>
  </cols>
  <sheetData>
    <row r="1" spans="1:10" ht="15">
      <c r="A1" s="1657" t="s">
        <v>737</v>
      </c>
      <c r="B1" s="1657"/>
      <c r="C1" s="1657"/>
      <c r="D1" s="1657"/>
      <c r="E1" s="1657"/>
      <c r="F1" s="1657"/>
      <c r="G1" s="1657"/>
      <c r="H1" s="1657"/>
      <c r="I1" s="1657"/>
      <c r="J1" s="1657"/>
    </row>
    <row r="2" spans="1:10" ht="15.75" thickBot="1">
      <c r="A2" s="729"/>
      <c r="B2" s="730"/>
      <c r="C2" s="731"/>
      <c r="D2" s="731"/>
      <c r="E2" s="731"/>
      <c r="F2" s="732"/>
      <c r="G2" s="732"/>
      <c r="H2" s="732"/>
      <c r="I2" s="732"/>
      <c r="J2" s="733"/>
    </row>
    <row r="3" spans="1:10" ht="15" customHeight="1">
      <c r="A3" s="1658" t="s">
        <v>738</v>
      </c>
      <c r="B3" s="1660" t="s">
        <v>739</v>
      </c>
      <c r="C3" s="1662" t="s">
        <v>987</v>
      </c>
      <c r="D3" s="1664" t="s">
        <v>774</v>
      </c>
      <c r="E3" s="1666" t="s">
        <v>883</v>
      </c>
      <c r="F3" s="1668" t="s">
        <v>884</v>
      </c>
      <c r="G3" s="1669"/>
      <c r="H3" s="1654" t="s">
        <v>885</v>
      </c>
      <c r="I3" s="1666" t="s">
        <v>886</v>
      </c>
      <c r="J3" s="1654" t="s">
        <v>887</v>
      </c>
    </row>
    <row r="4" spans="1:10" ht="57" customHeight="1" thickBot="1">
      <c r="A4" s="1659"/>
      <c r="B4" s="1661"/>
      <c r="C4" s="1663"/>
      <c r="D4" s="1665"/>
      <c r="E4" s="1667"/>
      <c r="F4" s="1298" t="s">
        <v>888</v>
      </c>
      <c r="G4" s="1052" t="s">
        <v>889</v>
      </c>
      <c r="H4" s="1655"/>
      <c r="I4" s="1667"/>
      <c r="J4" s="1655"/>
    </row>
    <row r="5" spans="1:13" ht="15">
      <c r="A5" s="1297" t="s">
        <v>753</v>
      </c>
      <c r="B5" s="1296" t="s">
        <v>754</v>
      </c>
      <c r="C5" s="1295">
        <v>43077</v>
      </c>
      <c r="D5" s="1294">
        <v>44165</v>
      </c>
      <c r="E5" s="1047">
        <f aca="true" t="shared" si="0" ref="E5:E25">SUM(F5:G5)</f>
        <v>118233</v>
      </c>
      <c r="F5" s="1293"/>
      <c r="G5" s="1292">
        <v>118233</v>
      </c>
      <c r="H5" s="1292">
        <f aca="true" t="shared" si="1" ref="H5:H25">E5</f>
        <v>118233</v>
      </c>
      <c r="I5" s="1291">
        <v>106232</v>
      </c>
      <c r="J5" s="1291">
        <v>106232</v>
      </c>
      <c r="K5" s="1051"/>
      <c r="M5" s="1051"/>
    </row>
    <row r="6" spans="1:13" ht="15">
      <c r="A6" s="1286" t="s">
        <v>986</v>
      </c>
      <c r="B6" s="1285" t="s">
        <v>764</v>
      </c>
      <c r="C6" s="1284">
        <v>43165</v>
      </c>
      <c r="D6" s="1283">
        <v>44255</v>
      </c>
      <c r="E6" s="1280">
        <f t="shared" si="0"/>
        <v>410821</v>
      </c>
      <c r="F6" s="1282"/>
      <c r="G6" s="1281">
        <v>410821</v>
      </c>
      <c r="H6" s="1281">
        <f t="shared" si="1"/>
        <v>410821</v>
      </c>
      <c r="I6" s="1280">
        <v>410821</v>
      </c>
      <c r="J6" s="1279">
        <v>410821</v>
      </c>
      <c r="K6" s="1051"/>
      <c r="M6" s="1051"/>
    </row>
    <row r="7" spans="1:13" ht="15">
      <c r="A7" s="1286" t="s">
        <v>772</v>
      </c>
      <c r="B7" s="1285" t="s">
        <v>773</v>
      </c>
      <c r="C7" s="1284">
        <v>43138</v>
      </c>
      <c r="D7" s="1283">
        <v>43830</v>
      </c>
      <c r="E7" s="1280">
        <f t="shared" si="0"/>
        <v>14985</v>
      </c>
      <c r="F7" s="1282"/>
      <c r="G7" s="1281">
        <v>14985</v>
      </c>
      <c r="H7" s="1281">
        <f t="shared" si="1"/>
        <v>14985</v>
      </c>
      <c r="I7" s="1280">
        <v>14985</v>
      </c>
      <c r="J7" s="1280">
        <v>14985</v>
      </c>
      <c r="K7" s="1051"/>
      <c r="M7" s="1051"/>
    </row>
    <row r="8" spans="1:11" ht="15">
      <c r="A8" s="1286" t="s">
        <v>765</v>
      </c>
      <c r="B8" s="1285" t="s">
        <v>766</v>
      </c>
      <c r="C8" s="1284">
        <v>43136</v>
      </c>
      <c r="D8" s="1283">
        <v>44286</v>
      </c>
      <c r="E8" s="1280">
        <f t="shared" si="0"/>
        <v>29807</v>
      </c>
      <c r="F8" s="1282"/>
      <c r="G8" s="1281">
        <v>29807</v>
      </c>
      <c r="H8" s="1281">
        <f t="shared" si="1"/>
        <v>29807</v>
      </c>
      <c r="I8" s="1280">
        <v>29807</v>
      </c>
      <c r="J8" s="1279">
        <v>29807</v>
      </c>
      <c r="K8" s="1051"/>
    </row>
    <row r="9" spans="1:11" ht="15">
      <c r="A9" s="1286" t="s">
        <v>767</v>
      </c>
      <c r="B9" s="1285" t="s">
        <v>768</v>
      </c>
      <c r="C9" s="1284">
        <v>43222</v>
      </c>
      <c r="D9" s="1283">
        <v>44316</v>
      </c>
      <c r="E9" s="1280">
        <f t="shared" si="0"/>
        <v>38428</v>
      </c>
      <c r="F9" s="1282"/>
      <c r="G9" s="1281">
        <v>38428</v>
      </c>
      <c r="H9" s="1281">
        <f t="shared" si="1"/>
        <v>38428</v>
      </c>
      <c r="I9" s="1290">
        <v>38428</v>
      </c>
      <c r="J9" s="1289">
        <v>38428</v>
      </c>
      <c r="K9" s="1051"/>
    </row>
    <row r="10" spans="1:11" ht="30">
      <c r="A10" s="1286" t="s">
        <v>985</v>
      </c>
      <c r="B10" s="1285" t="s">
        <v>769</v>
      </c>
      <c r="C10" s="1284">
        <v>43112</v>
      </c>
      <c r="D10" s="1283">
        <v>43646</v>
      </c>
      <c r="E10" s="1280">
        <f t="shared" si="0"/>
        <v>128852</v>
      </c>
      <c r="F10" s="1282">
        <v>10662</v>
      </c>
      <c r="G10" s="1281">
        <v>118190</v>
      </c>
      <c r="H10" s="1281">
        <f t="shared" si="1"/>
        <v>128852</v>
      </c>
      <c r="I10" s="1290">
        <v>118190</v>
      </c>
      <c r="J10" s="1289">
        <v>128852</v>
      </c>
      <c r="K10" s="1051"/>
    </row>
    <row r="11" spans="1:12" ht="15">
      <c r="A11" s="1286" t="s">
        <v>770</v>
      </c>
      <c r="B11" s="1285" t="s">
        <v>771</v>
      </c>
      <c r="C11" s="1284">
        <v>43117</v>
      </c>
      <c r="D11" s="1283">
        <v>43738</v>
      </c>
      <c r="E11" s="1280">
        <f t="shared" si="0"/>
        <v>45611</v>
      </c>
      <c r="F11" s="1282"/>
      <c r="G11" s="1281">
        <v>45611</v>
      </c>
      <c r="H11" s="1281">
        <f t="shared" si="1"/>
        <v>45611</v>
      </c>
      <c r="I11" s="1280">
        <v>45611</v>
      </c>
      <c r="J11" s="1279">
        <v>45611</v>
      </c>
      <c r="K11" s="1051"/>
      <c r="L11" s="1051"/>
    </row>
    <row r="12" spans="1:11" ht="30">
      <c r="A12" s="1286" t="s">
        <v>749</v>
      </c>
      <c r="B12" s="1285" t="s">
        <v>750</v>
      </c>
      <c r="C12" s="1284">
        <v>42943</v>
      </c>
      <c r="D12" s="1287">
        <v>43646</v>
      </c>
      <c r="E12" s="1280">
        <f t="shared" si="0"/>
        <v>9000</v>
      </c>
      <c r="F12" s="1282"/>
      <c r="G12" s="1281">
        <v>9000</v>
      </c>
      <c r="H12" s="1281">
        <f t="shared" si="1"/>
        <v>9000</v>
      </c>
      <c r="I12" s="1280">
        <v>0</v>
      </c>
      <c r="J12" s="1279">
        <v>9000</v>
      </c>
      <c r="K12" s="1051"/>
    </row>
    <row r="13" spans="1:11" ht="30">
      <c r="A13" s="1286" t="s">
        <v>984</v>
      </c>
      <c r="B13" s="1285" t="s">
        <v>751</v>
      </c>
      <c r="C13" s="1284">
        <v>43210</v>
      </c>
      <c r="D13" s="1287">
        <v>43861</v>
      </c>
      <c r="E13" s="1280">
        <f t="shared" si="0"/>
        <v>106593</v>
      </c>
      <c r="F13" s="1282">
        <f>5330</f>
        <v>5330</v>
      </c>
      <c r="G13" s="1281">
        <v>101263</v>
      </c>
      <c r="H13" s="1281">
        <f t="shared" si="1"/>
        <v>106593</v>
      </c>
      <c r="I13" s="1280">
        <v>101288</v>
      </c>
      <c r="J13" s="1279">
        <v>106618</v>
      </c>
      <c r="K13" s="1051"/>
    </row>
    <row r="14" spans="1:11" ht="30">
      <c r="A14" s="1286" t="s">
        <v>983</v>
      </c>
      <c r="B14" s="1285" t="s">
        <v>752</v>
      </c>
      <c r="C14" s="1284">
        <v>43109</v>
      </c>
      <c r="D14" s="1287">
        <v>43585</v>
      </c>
      <c r="E14" s="1280">
        <f t="shared" si="0"/>
        <v>94097</v>
      </c>
      <c r="F14" s="1282">
        <v>4481</v>
      </c>
      <c r="G14" s="1281">
        <v>89616</v>
      </c>
      <c r="H14" s="1281">
        <f t="shared" si="1"/>
        <v>94097</v>
      </c>
      <c r="I14" s="1280">
        <v>83457</v>
      </c>
      <c r="J14" s="1279">
        <v>87850</v>
      </c>
      <c r="K14" s="1051"/>
    </row>
    <row r="15" spans="1:12" ht="15">
      <c r="A15" s="1286" t="s">
        <v>762</v>
      </c>
      <c r="B15" s="1285" t="s">
        <v>763</v>
      </c>
      <c r="C15" s="1284">
        <v>43363</v>
      </c>
      <c r="D15" s="1283">
        <v>44105</v>
      </c>
      <c r="E15" s="1280">
        <f t="shared" si="0"/>
        <v>504640</v>
      </c>
      <c r="F15" s="1282">
        <v>105181</v>
      </c>
      <c r="G15" s="1281">
        <v>399459</v>
      </c>
      <c r="H15" s="1281">
        <f t="shared" si="1"/>
        <v>504640</v>
      </c>
      <c r="I15" s="1290">
        <v>399459</v>
      </c>
      <c r="J15" s="1289">
        <v>399459</v>
      </c>
      <c r="K15" s="1051"/>
      <c r="L15" s="1051"/>
    </row>
    <row r="16" spans="1:11" ht="30">
      <c r="A16" s="1286" t="s">
        <v>747</v>
      </c>
      <c r="B16" s="1285" t="s">
        <v>748</v>
      </c>
      <c r="C16" s="1284">
        <v>43004</v>
      </c>
      <c r="D16" s="1287">
        <v>43733</v>
      </c>
      <c r="E16" s="1280">
        <f t="shared" si="0"/>
        <v>204401</v>
      </c>
      <c r="F16" s="1282">
        <v>24174</v>
      </c>
      <c r="G16" s="1281">
        <v>180227</v>
      </c>
      <c r="H16" s="1281">
        <f t="shared" si="1"/>
        <v>204401</v>
      </c>
      <c r="I16" s="1280">
        <v>0</v>
      </c>
      <c r="J16" s="1279">
        <v>192179</v>
      </c>
      <c r="K16" s="1051"/>
    </row>
    <row r="17" spans="1:11" ht="30">
      <c r="A17" s="1286" t="s">
        <v>745</v>
      </c>
      <c r="B17" s="1285" t="s">
        <v>746</v>
      </c>
      <c r="C17" s="1284">
        <v>42886</v>
      </c>
      <c r="D17" s="1287">
        <v>43615</v>
      </c>
      <c r="E17" s="1280">
        <f t="shared" si="0"/>
        <v>320120</v>
      </c>
      <c r="F17" s="1282">
        <v>95000</v>
      </c>
      <c r="G17" s="1281">
        <v>225120</v>
      </c>
      <c r="H17" s="1281">
        <f t="shared" si="1"/>
        <v>320120</v>
      </c>
      <c r="I17" s="1280">
        <v>0</v>
      </c>
      <c r="J17" s="1279">
        <v>287056</v>
      </c>
      <c r="K17" s="1051"/>
    </row>
    <row r="18" spans="1:11" ht="45">
      <c r="A18" s="1286" t="s">
        <v>742</v>
      </c>
      <c r="B18" s="1285" t="s">
        <v>743</v>
      </c>
      <c r="C18" s="1284">
        <v>42895</v>
      </c>
      <c r="D18" s="1287">
        <v>43708</v>
      </c>
      <c r="E18" s="1280">
        <f t="shared" si="0"/>
        <v>407096</v>
      </c>
      <c r="F18" s="1282">
        <v>57096</v>
      </c>
      <c r="G18" s="1281">
        <v>350000</v>
      </c>
      <c r="H18" s="1281">
        <f t="shared" si="1"/>
        <v>407096</v>
      </c>
      <c r="I18" s="1280">
        <v>0</v>
      </c>
      <c r="J18" s="1279">
        <v>379516</v>
      </c>
      <c r="K18" s="1051"/>
    </row>
    <row r="19" spans="1:11" ht="15">
      <c r="A19" s="1286" t="s">
        <v>758</v>
      </c>
      <c r="B19" s="1285" t="s">
        <v>759</v>
      </c>
      <c r="C19" s="1284">
        <v>43131</v>
      </c>
      <c r="D19" s="1283">
        <v>43830</v>
      </c>
      <c r="E19" s="1280">
        <f t="shared" si="0"/>
        <v>429734</v>
      </c>
      <c r="F19" s="1282">
        <v>89734</v>
      </c>
      <c r="G19" s="1281">
        <v>340000</v>
      </c>
      <c r="H19" s="1281">
        <f t="shared" si="1"/>
        <v>429734</v>
      </c>
      <c r="I19" s="1280">
        <v>340000</v>
      </c>
      <c r="J19" s="1279">
        <v>364950</v>
      </c>
      <c r="K19" s="1051"/>
    </row>
    <row r="20" spans="1:11" ht="45">
      <c r="A20" s="1286" t="s">
        <v>982</v>
      </c>
      <c r="B20" s="1285" t="s">
        <v>744</v>
      </c>
      <c r="C20" s="1284">
        <v>42886</v>
      </c>
      <c r="D20" s="1288" t="s">
        <v>981</v>
      </c>
      <c r="E20" s="1280">
        <f t="shared" si="0"/>
        <v>203779</v>
      </c>
      <c r="F20" s="1282">
        <v>53779</v>
      </c>
      <c r="G20" s="1281">
        <v>150000</v>
      </c>
      <c r="H20" s="1281">
        <f t="shared" si="1"/>
        <v>203779</v>
      </c>
      <c r="I20" s="1280">
        <v>0</v>
      </c>
      <c r="J20" s="1279">
        <v>198191</v>
      </c>
      <c r="K20" s="1051"/>
    </row>
    <row r="21" spans="1:11" ht="15">
      <c r="A21" s="1286" t="s">
        <v>740</v>
      </c>
      <c r="B21" s="1285" t="s">
        <v>741</v>
      </c>
      <c r="C21" s="1284">
        <v>42744</v>
      </c>
      <c r="D21" s="1287">
        <v>43616</v>
      </c>
      <c r="E21" s="1280">
        <f t="shared" si="0"/>
        <v>483945</v>
      </c>
      <c r="F21" s="1282">
        <v>35000</v>
      </c>
      <c r="G21" s="1281">
        <v>448945</v>
      </c>
      <c r="H21" s="1281">
        <f t="shared" si="1"/>
        <v>483945</v>
      </c>
      <c r="I21" s="1280">
        <v>0</v>
      </c>
      <c r="J21" s="1279">
        <v>529312</v>
      </c>
      <c r="K21" s="1051"/>
    </row>
    <row r="22" spans="1:11" ht="30">
      <c r="A22" s="1286" t="s">
        <v>980</v>
      </c>
      <c r="B22" s="1285" t="s">
        <v>760</v>
      </c>
      <c r="C22" s="1284">
        <v>43147</v>
      </c>
      <c r="D22" s="1283">
        <v>44012</v>
      </c>
      <c r="E22" s="1280">
        <f t="shared" si="0"/>
        <v>281000</v>
      </c>
      <c r="F22" s="1282">
        <f>31000</f>
        <v>31000</v>
      </c>
      <c r="G22" s="1281">
        <v>250000</v>
      </c>
      <c r="H22" s="1281">
        <f t="shared" si="1"/>
        <v>281000</v>
      </c>
      <c r="I22" s="1280">
        <v>250000</v>
      </c>
      <c r="J22" s="1279">
        <v>281000</v>
      </c>
      <c r="K22" s="1051"/>
    </row>
    <row r="23" spans="1:11" ht="15">
      <c r="A23" s="1286" t="s">
        <v>979</v>
      </c>
      <c r="B23" s="1285" t="s">
        <v>757</v>
      </c>
      <c r="C23" s="1284">
        <v>43280</v>
      </c>
      <c r="D23" s="1283">
        <v>44255</v>
      </c>
      <c r="E23" s="1280">
        <f t="shared" si="0"/>
        <v>44296</v>
      </c>
      <c r="F23" s="1282">
        <v>2782</v>
      </c>
      <c r="G23" s="1281">
        <v>41514</v>
      </c>
      <c r="H23" s="1281">
        <f t="shared" si="1"/>
        <v>44296</v>
      </c>
      <c r="I23" s="1280">
        <v>41514</v>
      </c>
      <c r="J23" s="1279">
        <v>41514</v>
      </c>
      <c r="K23" s="1051"/>
    </row>
    <row r="24" spans="1:11" ht="15">
      <c r="A24" s="1286" t="s">
        <v>755</v>
      </c>
      <c r="B24" s="1285" t="s">
        <v>756</v>
      </c>
      <c r="C24" s="1284">
        <v>43256</v>
      </c>
      <c r="D24" s="1283">
        <v>43708</v>
      </c>
      <c r="E24" s="1280">
        <f t="shared" si="0"/>
        <v>44362</v>
      </c>
      <c r="F24" s="1282">
        <v>3497</v>
      </c>
      <c r="G24" s="1281">
        <v>40865</v>
      </c>
      <c r="H24" s="1281">
        <f t="shared" si="1"/>
        <v>44362</v>
      </c>
      <c r="I24" s="1280">
        <v>40865</v>
      </c>
      <c r="J24" s="1279">
        <v>40865</v>
      </c>
      <c r="K24" s="1051"/>
    </row>
    <row r="25" spans="1:11" ht="15.75" thickBot="1">
      <c r="A25" s="1278" t="s">
        <v>978</v>
      </c>
      <c r="B25" s="1277" t="s">
        <v>761</v>
      </c>
      <c r="C25" s="1276">
        <v>43334</v>
      </c>
      <c r="D25" s="1049">
        <v>44834</v>
      </c>
      <c r="E25" s="1275">
        <f t="shared" si="0"/>
        <v>54999</v>
      </c>
      <c r="F25" s="1274"/>
      <c r="G25" s="1045">
        <v>54999</v>
      </c>
      <c r="H25" s="1045">
        <f t="shared" si="1"/>
        <v>54999</v>
      </c>
      <c r="I25" s="1273">
        <v>54999</v>
      </c>
      <c r="J25" s="1272">
        <v>54999</v>
      </c>
      <c r="K25" s="1051"/>
    </row>
    <row r="26" spans="1:10" ht="15.75" thickBot="1">
      <c r="A26" s="734" t="s">
        <v>78</v>
      </c>
      <c r="B26" s="735"/>
      <c r="C26" s="736"/>
      <c r="D26" s="1050"/>
      <c r="E26" s="1048">
        <f aca="true" t="shared" si="2" ref="E26:J26">SUM(E5:E25)</f>
        <v>3974799</v>
      </c>
      <c r="F26" s="737">
        <f t="shared" si="2"/>
        <v>517716</v>
      </c>
      <c r="G26" s="1046">
        <f t="shared" si="2"/>
        <v>3457083</v>
      </c>
      <c r="H26" s="1046">
        <f t="shared" si="2"/>
        <v>3974799</v>
      </c>
      <c r="I26" s="1048">
        <f t="shared" si="2"/>
        <v>2075656</v>
      </c>
      <c r="J26" s="738">
        <f t="shared" si="2"/>
        <v>3747245</v>
      </c>
    </row>
    <row r="27" spans="1:10" ht="15">
      <c r="A27" s="739"/>
      <c r="B27" s="168"/>
      <c r="C27" s="740"/>
      <c r="D27" s="382"/>
      <c r="E27" s="382"/>
      <c r="F27" s="188"/>
      <c r="G27" s="188"/>
      <c r="H27" s="188"/>
      <c r="I27" s="188"/>
      <c r="J27" s="188"/>
    </row>
    <row r="28" spans="1:10" ht="15">
      <c r="A28" s="1656" t="s">
        <v>977</v>
      </c>
      <c r="B28" s="1656"/>
      <c r="C28" s="1656"/>
      <c r="D28" s="1656"/>
      <c r="E28" s="1656"/>
      <c r="F28" s="1656"/>
      <c r="G28" s="1656"/>
      <c r="H28" s="1656"/>
      <c r="I28" s="1656"/>
      <c r="J28" s="1656"/>
    </row>
    <row r="30" ht="15">
      <c r="A30" s="1423" t="s">
        <v>995</v>
      </c>
    </row>
    <row r="31" ht="15">
      <c r="A31" s="1423" t="s">
        <v>996</v>
      </c>
    </row>
    <row r="32" ht="15">
      <c r="A32" s="1423" t="s">
        <v>997</v>
      </c>
    </row>
    <row r="33" ht="15">
      <c r="A33" s="1423" t="s">
        <v>998</v>
      </c>
    </row>
    <row r="34" ht="15">
      <c r="A34" s="1423" t="s">
        <v>999</v>
      </c>
    </row>
  </sheetData>
  <mergeCells count="11">
    <mergeCell ref="J3:J4"/>
    <mergeCell ref="A28:J28"/>
    <mergeCell ref="A1:J1"/>
    <mergeCell ref="A3:A4"/>
    <mergeCell ref="B3:B4"/>
    <mergeCell ref="C3:C4"/>
    <mergeCell ref="D3:D4"/>
    <mergeCell ref="E3:E4"/>
    <mergeCell ref="F3:G3"/>
    <mergeCell ref="H3:H4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&amp;L&amp;"Times New Roman,Normál"&amp;8 17. melléklet 1,2,3,4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view="pageLayout" workbookViewId="0" topLeftCell="A34">
      <selection activeCell="A51" sqref="A51:A55"/>
    </sheetView>
  </sheetViews>
  <sheetFormatPr defaultColWidth="9.140625" defaultRowHeight="15"/>
  <cols>
    <col min="1" max="1" width="80.7109375" style="168" bestFit="1" customWidth="1"/>
    <col min="2" max="2" width="10.7109375" style="168" bestFit="1" customWidth="1"/>
    <col min="3" max="13" width="11.28125" style="168" customWidth="1"/>
    <col min="14" max="15" width="11.7109375" style="1094" bestFit="1" customWidth="1"/>
    <col min="16" max="34" width="9.140625" style="1094" customWidth="1"/>
    <col min="35" max="16384" width="9.140625" style="168" customWidth="1"/>
  </cols>
  <sheetData>
    <row r="1" spans="1:13" ht="15">
      <c r="A1" s="1436" t="s">
        <v>74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</row>
    <row r="2" ht="15.75" thickBot="1"/>
    <row r="3" spans="1:13" ht="31.5" customHeight="1" thickBot="1">
      <c r="A3" s="1437" t="s">
        <v>75</v>
      </c>
      <c r="B3" s="1439" t="s">
        <v>76</v>
      </c>
      <c r="C3" s="1440"/>
      <c r="D3" s="1441"/>
      <c r="E3" s="1439" t="s">
        <v>77</v>
      </c>
      <c r="F3" s="1440"/>
      <c r="G3" s="1441"/>
      <c r="H3" s="1439" t="s">
        <v>94</v>
      </c>
      <c r="I3" s="1440"/>
      <c r="J3" s="1441"/>
      <c r="K3" s="1439" t="s">
        <v>78</v>
      </c>
      <c r="L3" s="1440"/>
      <c r="M3" s="1441"/>
    </row>
    <row r="4" spans="1:13" ht="30.75" customHeight="1" thickBot="1">
      <c r="A4" s="1438"/>
      <c r="B4" s="165" t="s">
        <v>4</v>
      </c>
      <c r="C4" s="1109" t="s">
        <v>915</v>
      </c>
      <c r="D4" s="1110" t="s">
        <v>937</v>
      </c>
      <c r="E4" s="165" t="s">
        <v>4</v>
      </c>
      <c r="F4" s="1062" t="s">
        <v>915</v>
      </c>
      <c r="G4" s="1063" t="s">
        <v>937</v>
      </c>
      <c r="H4" s="165" t="s">
        <v>4</v>
      </c>
      <c r="I4" s="166" t="s">
        <v>915</v>
      </c>
      <c r="J4" s="167" t="s">
        <v>937</v>
      </c>
      <c r="K4" s="165" t="s">
        <v>4</v>
      </c>
      <c r="L4" s="166" t="s">
        <v>915</v>
      </c>
      <c r="M4" s="167" t="s">
        <v>938</v>
      </c>
    </row>
    <row r="5" spans="1:34" s="169" customFormat="1" ht="15" customHeight="1">
      <c r="A5" s="161" t="s">
        <v>6</v>
      </c>
      <c r="B5" s="1107">
        <f>SUM(B6:B7)</f>
        <v>1143193</v>
      </c>
      <c r="C5" s="1113">
        <f aca="true" t="shared" si="0" ref="C5:D5">SUM(C6:C7)</f>
        <v>1619428</v>
      </c>
      <c r="D5" s="1113">
        <f t="shared" si="0"/>
        <v>1634305</v>
      </c>
      <c r="E5" s="1108">
        <f aca="true" t="shared" si="1" ref="E5:J5">SUM(E6:E7)</f>
        <v>0</v>
      </c>
      <c r="F5" s="163">
        <f aca="true" t="shared" si="2" ref="F5">SUM(F6:F7)</f>
        <v>0</v>
      </c>
      <c r="G5" s="164">
        <f t="shared" si="1"/>
        <v>0</v>
      </c>
      <c r="H5" s="162">
        <f t="shared" si="1"/>
        <v>0</v>
      </c>
      <c r="I5" s="163">
        <f aca="true" t="shared" si="3" ref="I5">SUM(I6:I7)</f>
        <v>0</v>
      </c>
      <c r="J5" s="164">
        <f t="shared" si="1"/>
        <v>0</v>
      </c>
      <c r="K5" s="162">
        <f>B5+E5+H5</f>
        <v>1143193</v>
      </c>
      <c r="L5" s="163">
        <f aca="true" t="shared" si="4" ref="L5:M49">C5+F5+I5</f>
        <v>1619428</v>
      </c>
      <c r="M5" s="164">
        <f t="shared" si="4"/>
        <v>1634305</v>
      </c>
      <c r="N5" s="1089"/>
      <c r="O5" s="1089"/>
      <c r="P5" s="1089"/>
      <c r="Q5" s="1089"/>
      <c r="R5" s="1089"/>
      <c r="S5" s="1089"/>
      <c r="T5" s="1089"/>
      <c r="U5" s="1089"/>
      <c r="V5" s="1089"/>
      <c r="W5" s="1089"/>
      <c r="X5" s="1089"/>
      <c r="Y5" s="1089"/>
      <c r="Z5" s="1089"/>
      <c r="AA5" s="1089"/>
      <c r="AB5" s="1089"/>
      <c r="AC5" s="1089"/>
      <c r="AD5" s="1089"/>
      <c r="AE5" s="1089"/>
      <c r="AF5" s="1089"/>
      <c r="AG5" s="1089"/>
      <c r="AH5" s="1089"/>
    </row>
    <row r="6" spans="1:13" ht="15" customHeight="1">
      <c r="A6" s="151" t="s">
        <v>79</v>
      </c>
      <c r="B6" s="152">
        <f>'15. melléklet'!K104</f>
        <v>1143193</v>
      </c>
      <c r="C6" s="1111">
        <f>'15. melléklet'!N104</f>
        <v>1317558</v>
      </c>
      <c r="D6" s="1112">
        <f>'15. melléklet'!O104</f>
        <v>1329935</v>
      </c>
      <c r="E6" s="152"/>
      <c r="F6" s="159"/>
      <c r="G6" s="153"/>
      <c r="H6" s="152"/>
      <c r="I6" s="159"/>
      <c r="J6" s="153"/>
      <c r="K6" s="152">
        <f aca="true" t="shared" si="5" ref="K6:K49">B6+E6+H6</f>
        <v>1143193</v>
      </c>
      <c r="L6" s="159">
        <f t="shared" si="4"/>
        <v>1317558</v>
      </c>
      <c r="M6" s="153">
        <f t="shared" si="4"/>
        <v>1329935</v>
      </c>
    </row>
    <row r="7" spans="1:13" ht="15" customHeight="1">
      <c r="A7" s="151" t="s">
        <v>80</v>
      </c>
      <c r="B7" s="152">
        <f>'15. melléklet'!K108</f>
        <v>0</v>
      </c>
      <c r="C7" s="159">
        <f>'15. melléklet'!N108</f>
        <v>301870</v>
      </c>
      <c r="D7" s="153">
        <f>'15. melléklet'!O108</f>
        <v>304370</v>
      </c>
      <c r="E7" s="152"/>
      <c r="F7" s="159"/>
      <c r="G7" s="153"/>
      <c r="H7" s="152"/>
      <c r="I7" s="159"/>
      <c r="J7" s="153"/>
      <c r="K7" s="152">
        <f t="shared" si="5"/>
        <v>0</v>
      </c>
      <c r="L7" s="159">
        <f t="shared" si="4"/>
        <v>301870</v>
      </c>
      <c r="M7" s="153">
        <f t="shared" si="4"/>
        <v>304370</v>
      </c>
    </row>
    <row r="8" spans="1:34" s="169" customFormat="1" ht="15" customHeight="1">
      <c r="A8" s="170" t="s">
        <v>81</v>
      </c>
      <c r="B8" s="149">
        <f>SUM(B9:B10)</f>
        <v>114830</v>
      </c>
      <c r="C8" s="158">
        <f aca="true" t="shared" si="6" ref="C8">SUM(C9:C10)</f>
        <v>752072</v>
      </c>
      <c r="D8" s="150">
        <f aca="true" t="shared" si="7" ref="D8:J8">SUM(D9:D10)</f>
        <v>706531</v>
      </c>
      <c r="E8" s="149">
        <f t="shared" si="7"/>
        <v>31037</v>
      </c>
      <c r="F8" s="158">
        <f aca="true" t="shared" si="8" ref="F8">SUM(F9:F10)</f>
        <v>135324</v>
      </c>
      <c r="G8" s="150">
        <f t="shared" si="7"/>
        <v>137741</v>
      </c>
      <c r="H8" s="149">
        <f t="shared" si="7"/>
        <v>72252</v>
      </c>
      <c r="I8" s="158">
        <f aca="true" t="shared" si="9" ref="I8">SUM(I9:I10)</f>
        <v>89934</v>
      </c>
      <c r="J8" s="150">
        <f t="shared" si="7"/>
        <v>107657</v>
      </c>
      <c r="K8" s="149">
        <f t="shared" si="5"/>
        <v>218119</v>
      </c>
      <c r="L8" s="158">
        <f t="shared" si="4"/>
        <v>977330</v>
      </c>
      <c r="M8" s="150">
        <f t="shared" si="4"/>
        <v>951929</v>
      </c>
      <c r="N8" s="1089"/>
      <c r="O8" s="1089"/>
      <c r="P8" s="1089"/>
      <c r="Q8" s="1089"/>
      <c r="R8" s="1089"/>
      <c r="S8" s="1089"/>
      <c r="T8" s="1089"/>
      <c r="U8" s="1089"/>
      <c r="V8" s="1089"/>
      <c r="W8" s="1089"/>
      <c r="X8" s="1089"/>
      <c r="Y8" s="1089"/>
      <c r="Z8" s="1089"/>
      <c r="AA8" s="1089"/>
      <c r="AB8" s="1089"/>
      <c r="AC8" s="1089"/>
      <c r="AD8" s="1089"/>
      <c r="AE8" s="1089"/>
      <c r="AF8" s="1089"/>
      <c r="AG8" s="1089"/>
      <c r="AH8" s="1089"/>
    </row>
    <row r="9" spans="1:13" ht="15" customHeight="1">
      <c r="A9" s="171" t="s">
        <v>799</v>
      </c>
      <c r="B9" s="152"/>
      <c r="C9" s="159"/>
      <c r="D9" s="153"/>
      <c r="E9" s="152"/>
      <c r="F9" s="159"/>
      <c r="G9" s="153"/>
      <c r="H9" s="152"/>
      <c r="I9" s="159"/>
      <c r="J9" s="153"/>
      <c r="K9" s="152">
        <f aca="true" t="shared" si="10" ref="K9">B9+E9+H9</f>
        <v>0</v>
      </c>
      <c r="L9" s="159">
        <f aca="true" t="shared" si="11" ref="L9:M9">C9+F9+I9</f>
        <v>0</v>
      </c>
      <c r="M9" s="153">
        <f t="shared" si="11"/>
        <v>0</v>
      </c>
    </row>
    <row r="10" spans="1:13" ht="15" customHeight="1">
      <c r="A10" s="171" t="s">
        <v>9</v>
      </c>
      <c r="B10" s="152">
        <f>'11. melléklet'!B7</f>
        <v>114830</v>
      </c>
      <c r="C10" s="159">
        <f>'11. melléklet'!C7</f>
        <v>752072</v>
      </c>
      <c r="D10" s="153">
        <f>'11. melléklet'!D7</f>
        <v>706531</v>
      </c>
      <c r="E10" s="152">
        <f>'11. melléklet'!B94</f>
        <v>31037</v>
      </c>
      <c r="F10" s="159">
        <f>'11. melléklet'!C94</f>
        <v>135324</v>
      </c>
      <c r="G10" s="153">
        <f>'11. melléklet'!D94</f>
        <v>137741</v>
      </c>
      <c r="H10" s="152">
        <v>72252</v>
      </c>
      <c r="I10" s="159">
        <v>89934</v>
      </c>
      <c r="J10" s="153">
        <v>107657</v>
      </c>
      <c r="K10" s="152">
        <f t="shared" si="5"/>
        <v>218119</v>
      </c>
      <c r="L10" s="159">
        <f t="shared" si="4"/>
        <v>977330</v>
      </c>
      <c r="M10" s="153">
        <f t="shared" si="4"/>
        <v>951929</v>
      </c>
    </row>
    <row r="11" spans="1:13" ht="15" customHeight="1">
      <c r="A11" s="170" t="s">
        <v>11</v>
      </c>
      <c r="B11" s="149">
        <f>B12</f>
        <v>0</v>
      </c>
      <c r="C11" s="158">
        <f aca="true" t="shared" si="12" ref="C11:J11">C12</f>
        <v>1151535</v>
      </c>
      <c r="D11" s="150">
        <f t="shared" si="12"/>
        <v>1154369</v>
      </c>
      <c r="E11" s="149">
        <f t="shared" si="12"/>
        <v>0</v>
      </c>
      <c r="F11" s="158">
        <f t="shared" si="12"/>
        <v>16254</v>
      </c>
      <c r="G11" s="150">
        <f t="shared" si="12"/>
        <v>16254</v>
      </c>
      <c r="H11" s="149">
        <f t="shared" si="12"/>
        <v>0</v>
      </c>
      <c r="I11" s="158">
        <f t="shared" si="12"/>
        <v>0</v>
      </c>
      <c r="J11" s="150">
        <f t="shared" si="12"/>
        <v>0</v>
      </c>
      <c r="K11" s="149">
        <f t="shared" si="5"/>
        <v>0</v>
      </c>
      <c r="L11" s="158">
        <f t="shared" si="4"/>
        <v>1167789</v>
      </c>
      <c r="M11" s="150">
        <f t="shared" si="4"/>
        <v>1170623</v>
      </c>
    </row>
    <row r="12" spans="1:13" ht="15" customHeight="1">
      <c r="A12" s="171" t="s">
        <v>9</v>
      </c>
      <c r="B12" s="152">
        <f>'11. melléklet'!B45</f>
        <v>0</v>
      </c>
      <c r="C12" s="159">
        <f>'11. melléklet'!C45</f>
        <v>1151535</v>
      </c>
      <c r="D12" s="153">
        <f>'11. melléklet'!D45</f>
        <v>1154369</v>
      </c>
      <c r="E12" s="152">
        <f>'11. melléklet'!B84</f>
        <v>0</v>
      </c>
      <c r="F12" s="159">
        <f>'11. melléklet'!C84</f>
        <v>16254</v>
      </c>
      <c r="G12" s="153">
        <f>'11. melléklet'!D84</f>
        <v>16254</v>
      </c>
      <c r="H12" s="152"/>
      <c r="I12" s="159"/>
      <c r="J12" s="153"/>
      <c r="K12" s="152">
        <f t="shared" si="5"/>
        <v>0</v>
      </c>
      <c r="L12" s="159">
        <f t="shared" si="4"/>
        <v>1167789</v>
      </c>
      <c r="M12" s="153">
        <f t="shared" si="4"/>
        <v>1170623</v>
      </c>
    </row>
    <row r="13" spans="1:34" s="173" customFormat="1" ht="15" customHeight="1">
      <c r="A13" s="172" t="s">
        <v>82</v>
      </c>
      <c r="B13" s="149">
        <f>B14+B17+B22+B23+B24</f>
        <v>2045000</v>
      </c>
      <c r="C13" s="158">
        <f aca="true" t="shared" si="13" ref="C13">C14+C17+C22+C23+C24</f>
        <v>2045000</v>
      </c>
      <c r="D13" s="150">
        <f aca="true" t="shared" si="14" ref="D13:J13">D14+D17+D22+D23+D24</f>
        <v>2206952</v>
      </c>
      <c r="E13" s="149">
        <f t="shared" si="14"/>
        <v>0</v>
      </c>
      <c r="F13" s="158">
        <f aca="true" t="shared" si="15" ref="F13">F14+F17+F22+F23+F24</f>
        <v>0</v>
      </c>
      <c r="G13" s="150">
        <f t="shared" si="14"/>
        <v>0</v>
      </c>
      <c r="H13" s="149">
        <f t="shared" si="14"/>
        <v>0</v>
      </c>
      <c r="I13" s="158">
        <f aca="true" t="shared" si="16" ref="I13">I14+I17+I22+I23+I24</f>
        <v>0</v>
      </c>
      <c r="J13" s="150">
        <f t="shared" si="14"/>
        <v>0</v>
      </c>
      <c r="K13" s="149">
        <f t="shared" si="5"/>
        <v>2045000</v>
      </c>
      <c r="L13" s="158">
        <f t="shared" si="4"/>
        <v>2045000</v>
      </c>
      <c r="M13" s="150">
        <f t="shared" si="4"/>
        <v>2206952</v>
      </c>
      <c r="N13" s="1114"/>
      <c r="O13" s="1114"/>
      <c r="P13" s="1114"/>
      <c r="Q13" s="1114"/>
      <c r="R13" s="1114"/>
      <c r="S13" s="1114"/>
      <c r="T13" s="1114"/>
      <c r="U13" s="1114"/>
      <c r="V13" s="1114"/>
      <c r="W13" s="1114"/>
      <c r="X13" s="1114"/>
      <c r="Y13" s="1114"/>
      <c r="Z13" s="1114"/>
      <c r="AA13" s="1114"/>
      <c r="AB13" s="1114"/>
      <c r="AC13" s="1114"/>
      <c r="AD13" s="1114"/>
      <c r="AE13" s="1114"/>
      <c r="AF13" s="1114"/>
      <c r="AG13" s="1114"/>
      <c r="AH13" s="1114"/>
    </row>
    <row r="14" spans="1:34" s="173" customFormat="1" ht="15" customHeight="1">
      <c r="A14" s="171" t="s">
        <v>14</v>
      </c>
      <c r="B14" s="174">
        <f>SUM(B15:B16)</f>
        <v>500000</v>
      </c>
      <c r="C14" s="175">
        <f aca="true" t="shared" si="17" ref="C14">SUM(C15:C16)</f>
        <v>500000</v>
      </c>
      <c r="D14" s="176">
        <f aca="true" t="shared" si="18" ref="D14:J14">SUM(D15:D16)</f>
        <v>547328</v>
      </c>
      <c r="E14" s="174">
        <f t="shared" si="18"/>
        <v>0</v>
      </c>
      <c r="F14" s="175">
        <f aca="true" t="shared" si="19" ref="F14">SUM(F15:F16)</f>
        <v>0</v>
      </c>
      <c r="G14" s="176">
        <f t="shared" si="18"/>
        <v>0</v>
      </c>
      <c r="H14" s="174">
        <f t="shared" si="18"/>
        <v>0</v>
      </c>
      <c r="I14" s="175">
        <f aca="true" t="shared" si="20" ref="I14">SUM(I15:I16)</f>
        <v>0</v>
      </c>
      <c r="J14" s="176">
        <f t="shared" si="18"/>
        <v>0</v>
      </c>
      <c r="K14" s="174">
        <f t="shared" si="5"/>
        <v>500000</v>
      </c>
      <c r="L14" s="175">
        <f t="shared" si="4"/>
        <v>500000</v>
      </c>
      <c r="M14" s="176">
        <f t="shared" si="4"/>
        <v>547328</v>
      </c>
      <c r="N14" s="1114"/>
      <c r="O14" s="1114"/>
      <c r="P14" s="1114"/>
      <c r="Q14" s="1114"/>
      <c r="R14" s="1114"/>
      <c r="S14" s="1114"/>
      <c r="T14" s="1114"/>
      <c r="U14" s="1114"/>
      <c r="V14" s="1114"/>
      <c r="W14" s="1114"/>
      <c r="X14" s="1114"/>
      <c r="Y14" s="1114"/>
      <c r="Z14" s="1114"/>
      <c r="AA14" s="1114"/>
      <c r="AB14" s="1114"/>
      <c r="AC14" s="1114"/>
      <c r="AD14" s="1114"/>
      <c r="AE14" s="1114"/>
      <c r="AF14" s="1114"/>
      <c r="AG14" s="1114"/>
      <c r="AH14" s="1114"/>
    </row>
    <row r="15" spans="1:34" s="173" customFormat="1" ht="15" customHeight="1">
      <c r="A15" s="177" t="s">
        <v>83</v>
      </c>
      <c r="B15" s="154">
        <v>350000</v>
      </c>
      <c r="C15" s="160">
        <v>350000</v>
      </c>
      <c r="D15" s="155">
        <v>363043</v>
      </c>
      <c r="E15" s="154"/>
      <c r="F15" s="160"/>
      <c r="G15" s="155"/>
      <c r="H15" s="154"/>
      <c r="I15" s="160"/>
      <c r="J15" s="155"/>
      <c r="K15" s="154">
        <f t="shared" si="5"/>
        <v>350000</v>
      </c>
      <c r="L15" s="160">
        <f t="shared" si="4"/>
        <v>350000</v>
      </c>
      <c r="M15" s="155">
        <f t="shared" si="4"/>
        <v>363043</v>
      </c>
      <c r="N15" s="1114"/>
      <c r="O15" s="1114"/>
      <c r="P15" s="1114"/>
      <c r="Q15" s="1114"/>
      <c r="R15" s="1114"/>
      <c r="S15" s="1114"/>
      <c r="T15" s="1114"/>
      <c r="U15" s="1114"/>
      <c r="V15" s="1114"/>
      <c r="W15" s="1114"/>
      <c r="X15" s="1114"/>
      <c r="Y15" s="1114"/>
      <c r="Z15" s="1114"/>
      <c r="AA15" s="1114"/>
      <c r="AB15" s="1114"/>
      <c r="AC15" s="1114"/>
      <c r="AD15" s="1114"/>
      <c r="AE15" s="1114"/>
      <c r="AF15" s="1114"/>
      <c r="AG15" s="1114"/>
      <c r="AH15" s="1114"/>
    </row>
    <row r="16" spans="1:34" s="173" customFormat="1" ht="15" customHeight="1">
      <c r="A16" s="156" t="s">
        <v>84</v>
      </c>
      <c r="B16" s="178">
        <v>150000</v>
      </c>
      <c r="C16" s="179">
        <v>150000</v>
      </c>
      <c r="D16" s="180">
        <v>184285</v>
      </c>
      <c r="E16" s="178"/>
      <c r="F16" s="179"/>
      <c r="G16" s="180"/>
      <c r="H16" s="178"/>
      <c r="I16" s="179"/>
      <c r="J16" s="180"/>
      <c r="K16" s="178">
        <f t="shared" si="5"/>
        <v>150000</v>
      </c>
      <c r="L16" s="179">
        <f t="shared" si="4"/>
        <v>150000</v>
      </c>
      <c r="M16" s="180">
        <f t="shared" si="4"/>
        <v>184285</v>
      </c>
      <c r="N16" s="1114"/>
      <c r="O16" s="1114"/>
      <c r="P16" s="1114"/>
      <c r="Q16" s="1114"/>
      <c r="R16" s="1114"/>
      <c r="S16" s="1114"/>
      <c r="T16" s="1114"/>
      <c r="U16" s="1114"/>
      <c r="V16" s="1114"/>
      <c r="W16" s="1114"/>
      <c r="X16" s="1114"/>
      <c r="Y16" s="1114"/>
      <c r="Z16" s="1114"/>
      <c r="AA16" s="1114"/>
      <c r="AB16" s="1114"/>
      <c r="AC16" s="1114"/>
      <c r="AD16" s="1114"/>
      <c r="AE16" s="1114"/>
      <c r="AF16" s="1114"/>
      <c r="AG16" s="1114"/>
      <c r="AH16" s="1114"/>
    </row>
    <row r="17" spans="1:34" s="173" customFormat="1" ht="15" customHeight="1">
      <c r="A17" s="171" t="s">
        <v>85</v>
      </c>
      <c r="B17" s="174">
        <f>SUM(B18:B21)</f>
        <v>1537000</v>
      </c>
      <c r="C17" s="175">
        <f aca="true" t="shared" si="21" ref="C17">SUM(C18:C21)</f>
        <v>1535000</v>
      </c>
      <c r="D17" s="176">
        <f aca="true" t="shared" si="22" ref="D17:J17">SUM(D18:D21)</f>
        <v>1647724</v>
      </c>
      <c r="E17" s="174">
        <f t="shared" si="22"/>
        <v>0</v>
      </c>
      <c r="F17" s="175">
        <f aca="true" t="shared" si="23" ref="F17">SUM(F18:F21)</f>
        <v>0</v>
      </c>
      <c r="G17" s="176">
        <f t="shared" si="22"/>
        <v>0</v>
      </c>
      <c r="H17" s="174">
        <f t="shared" si="22"/>
        <v>0</v>
      </c>
      <c r="I17" s="175">
        <f aca="true" t="shared" si="24" ref="I17">SUM(I18:I21)</f>
        <v>0</v>
      </c>
      <c r="J17" s="176">
        <f t="shared" si="22"/>
        <v>0</v>
      </c>
      <c r="K17" s="174">
        <f t="shared" si="5"/>
        <v>1537000</v>
      </c>
      <c r="L17" s="175">
        <f t="shared" si="4"/>
        <v>1535000</v>
      </c>
      <c r="M17" s="176">
        <f t="shared" si="4"/>
        <v>1647724</v>
      </c>
      <c r="N17" s="1114"/>
      <c r="O17" s="1114"/>
      <c r="P17" s="1114"/>
      <c r="Q17" s="1114"/>
      <c r="R17" s="1114"/>
      <c r="S17" s="1114"/>
      <c r="T17" s="1114"/>
      <c r="U17" s="1114"/>
      <c r="V17" s="1114"/>
      <c r="W17" s="1114"/>
      <c r="X17" s="1114"/>
      <c r="Y17" s="1114"/>
      <c r="Z17" s="1114"/>
      <c r="AA17" s="1114"/>
      <c r="AB17" s="1114"/>
      <c r="AC17" s="1114"/>
      <c r="AD17" s="1114"/>
      <c r="AE17" s="1114"/>
      <c r="AF17" s="1114"/>
      <c r="AG17" s="1114"/>
      <c r="AH17" s="1114"/>
    </row>
    <row r="18" spans="1:34" s="173" customFormat="1" ht="15" customHeight="1">
      <c r="A18" s="177" t="s">
        <v>86</v>
      </c>
      <c r="B18" s="178">
        <v>1400000</v>
      </c>
      <c r="C18" s="179">
        <v>1400000</v>
      </c>
      <c r="D18" s="180">
        <v>1500262</v>
      </c>
      <c r="E18" s="178"/>
      <c r="F18" s="179"/>
      <c r="G18" s="180"/>
      <c r="H18" s="178"/>
      <c r="I18" s="179"/>
      <c r="J18" s="180"/>
      <c r="K18" s="178">
        <f t="shared" si="5"/>
        <v>1400000</v>
      </c>
      <c r="L18" s="179">
        <f t="shared" si="4"/>
        <v>1400000</v>
      </c>
      <c r="M18" s="180">
        <f t="shared" si="4"/>
        <v>1500262</v>
      </c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4"/>
      <c r="AB18" s="1114"/>
      <c r="AC18" s="1114"/>
      <c r="AD18" s="1114"/>
      <c r="AE18" s="1114"/>
      <c r="AF18" s="1114"/>
      <c r="AG18" s="1114"/>
      <c r="AH18" s="1114"/>
    </row>
    <row r="19" spans="1:34" s="173" customFormat="1" ht="15" customHeight="1">
      <c r="A19" s="177" t="s">
        <v>87</v>
      </c>
      <c r="B19" s="178">
        <v>92000</v>
      </c>
      <c r="C19" s="179">
        <v>92000</v>
      </c>
      <c r="D19" s="180">
        <v>100695</v>
      </c>
      <c r="E19" s="178"/>
      <c r="F19" s="179"/>
      <c r="G19" s="180"/>
      <c r="H19" s="178"/>
      <c r="I19" s="179"/>
      <c r="J19" s="180"/>
      <c r="K19" s="178">
        <f t="shared" si="5"/>
        <v>92000</v>
      </c>
      <c r="L19" s="179">
        <f t="shared" si="4"/>
        <v>92000</v>
      </c>
      <c r="M19" s="180">
        <f t="shared" si="4"/>
        <v>100695</v>
      </c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4"/>
      <c r="AG19" s="1114"/>
      <c r="AH19" s="1114"/>
    </row>
    <row r="20" spans="1:34" s="173" customFormat="1" ht="15" customHeight="1">
      <c r="A20" s="177" t="s">
        <v>88</v>
      </c>
      <c r="B20" s="178">
        <v>43000</v>
      </c>
      <c r="C20" s="179">
        <v>43000</v>
      </c>
      <c r="D20" s="180">
        <v>46767</v>
      </c>
      <c r="E20" s="178"/>
      <c r="F20" s="179"/>
      <c r="G20" s="180"/>
      <c r="H20" s="178"/>
      <c r="I20" s="179"/>
      <c r="J20" s="180"/>
      <c r="K20" s="178">
        <f t="shared" si="5"/>
        <v>43000</v>
      </c>
      <c r="L20" s="179">
        <f t="shared" si="4"/>
        <v>43000</v>
      </c>
      <c r="M20" s="180">
        <f t="shared" si="4"/>
        <v>46767</v>
      </c>
      <c r="N20" s="1114"/>
      <c r="O20" s="1114"/>
      <c r="P20" s="1114"/>
      <c r="Q20" s="1114"/>
      <c r="R20" s="1114"/>
      <c r="S20" s="1114"/>
      <c r="T20" s="1114"/>
      <c r="U20" s="1114"/>
      <c r="V20" s="1114"/>
      <c r="W20" s="1114"/>
      <c r="X20" s="1114"/>
      <c r="Y20" s="1114"/>
      <c r="Z20" s="1114"/>
      <c r="AA20" s="1114"/>
      <c r="AB20" s="1114"/>
      <c r="AC20" s="1114"/>
      <c r="AD20" s="1114"/>
      <c r="AE20" s="1114"/>
      <c r="AF20" s="1114"/>
      <c r="AG20" s="1114"/>
      <c r="AH20" s="1114"/>
    </row>
    <row r="21" spans="1:13" ht="15" customHeight="1">
      <c r="A21" s="177" t="s">
        <v>89</v>
      </c>
      <c r="B21" s="178">
        <v>2000</v>
      </c>
      <c r="C21" s="179">
        <v>0</v>
      </c>
      <c r="D21" s="180"/>
      <c r="E21" s="178"/>
      <c r="F21" s="179"/>
      <c r="G21" s="180"/>
      <c r="H21" s="178"/>
      <c r="I21" s="179"/>
      <c r="J21" s="180"/>
      <c r="K21" s="178">
        <f t="shared" si="5"/>
        <v>2000</v>
      </c>
      <c r="L21" s="179">
        <f t="shared" si="4"/>
        <v>0</v>
      </c>
      <c r="M21" s="180">
        <f t="shared" si="4"/>
        <v>0</v>
      </c>
    </row>
    <row r="22" spans="1:34" s="173" customFormat="1" ht="15" customHeight="1">
      <c r="A22" s="181" t="s">
        <v>16</v>
      </c>
      <c r="B22" s="174">
        <v>5000</v>
      </c>
      <c r="C22" s="175">
        <v>5000</v>
      </c>
      <c r="D22" s="176">
        <v>3119</v>
      </c>
      <c r="E22" s="174"/>
      <c r="F22" s="175"/>
      <c r="G22" s="176"/>
      <c r="H22" s="174"/>
      <c r="I22" s="175"/>
      <c r="J22" s="176"/>
      <c r="K22" s="174">
        <f t="shared" si="5"/>
        <v>5000</v>
      </c>
      <c r="L22" s="175">
        <f t="shared" si="4"/>
        <v>5000</v>
      </c>
      <c r="M22" s="176">
        <f t="shared" si="4"/>
        <v>3119</v>
      </c>
      <c r="N22" s="1114"/>
      <c r="O22" s="1114"/>
      <c r="P22" s="1114"/>
      <c r="Q22" s="1114"/>
      <c r="R22" s="1114"/>
      <c r="S22" s="1114"/>
      <c r="T22" s="1114"/>
      <c r="U22" s="1114"/>
      <c r="V22" s="1114"/>
      <c r="W22" s="1114"/>
      <c r="X22" s="1114"/>
      <c r="Y22" s="1114"/>
      <c r="Z22" s="1114"/>
      <c r="AA22" s="1114"/>
      <c r="AB22" s="1114"/>
      <c r="AC22" s="1114"/>
      <c r="AD22" s="1114"/>
      <c r="AE22" s="1114"/>
      <c r="AF22" s="1114"/>
      <c r="AG22" s="1114"/>
      <c r="AH22" s="1114"/>
    </row>
    <row r="23" spans="1:34" s="173" customFormat="1" ht="15" customHeight="1">
      <c r="A23" s="181" t="s">
        <v>800</v>
      </c>
      <c r="B23" s="174">
        <v>3000</v>
      </c>
      <c r="C23" s="175">
        <v>3000</v>
      </c>
      <c r="D23" s="176">
        <v>6205</v>
      </c>
      <c r="E23" s="174"/>
      <c r="F23" s="175"/>
      <c r="G23" s="176"/>
      <c r="H23" s="174"/>
      <c r="I23" s="175"/>
      <c r="J23" s="176"/>
      <c r="K23" s="174">
        <f t="shared" si="5"/>
        <v>3000</v>
      </c>
      <c r="L23" s="175">
        <f t="shared" si="4"/>
        <v>3000</v>
      </c>
      <c r="M23" s="176">
        <f t="shared" si="4"/>
        <v>6205</v>
      </c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4"/>
      <c r="AG23" s="1114"/>
      <c r="AH23" s="1114"/>
    </row>
    <row r="24" spans="1:34" s="173" customFormat="1" ht="15" customHeight="1">
      <c r="A24" s="181" t="s">
        <v>95</v>
      </c>
      <c r="B24" s="174"/>
      <c r="C24" s="175">
        <v>2000</v>
      </c>
      <c r="D24" s="176">
        <v>2576</v>
      </c>
      <c r="E24" s="174"/>
      <c r="F24" s="1101"/>
      <c r="G24" s="1102"/>
      <c r="H24" s="174"/>
      <c r="I24" s="175"/>
      <c r="J24" s="176"/>
      <c r="K24" s="174">
        <f t="shared" si="5"/>
        <v>0</v>
      </c>
      <c r="L24" s="175">
        <f t="shared" si="4"/>
        <v>2000</v>
      </c>
      <c r="M24" s="176">
        <f t="shared" si="4"/>
        <v>2576</v>
      </c>
      <c r="N24" s="1114"/>
      <c r="O24" s="1114"/>
      <c r="P24" s="1114"/>
      <c r="Q24" s="1114"/>
      <c r="R24" s="1114"/>
      <c r="S24" s="1114"/>
      <c r="T24" s="1114"/>
      <c r="U24" s="1114"/>
      <c r="V24" s="1114"/>
      <c r="W24" s="1114"/>
      <c r="X24" s="1114"/>
      <c r="Y24" s="1114"/>
      <c r="Z24" s="1114"/>
      <c r="AA24" s="1114"/>
      <c r="AB24" s="1114"/>
      <c r="AC24" s="1114"/>
      <c r="AD24" s="1114"/>
      <c r="AE24" s="1114"/>
      <c r="AF24" s="1114"/>
      <c r="AG24" s="1114"/>
      <c r="AH24" s="1114"/>
    </row>
    <row r="25" spans="1:13" ht="15" customHeight="1">
      <c r="A25" s="170" t="s">
        <v>21</v>
      </c>
      <c r="B25" s="182">
        <f>SUM(B26:B33)</f>
        <v>2042636</v>
      </c>
      <c r="C25" s="183">
        <f aca="true" t="shared" si="25" ref="C25">SUM(C26:C33)</f>
        <v>2049106</v>
      </c>
      <c r="D25" s="184">
        <f aca="true" t="shared" si="26" ref="D25:J25">SUM(D26:D33)</f>
        <v>1296207</v>
      </c>
      <c r="E25" s="1099">
        <f t="shared" si="26"/>
        <v>7460</v>
      </c>
      <c r="F25" s="1105">
        <f aca="true" t="shared" si="27" ref="F25:G25">SUM(F26:F33)</f>
        <v>8392</v>
      </c>
      <c r="G25" s="1106">
        <f t="shared" si="27"/>
        <v>16859</v>
      </c>
      <c r="H25" s="1100">
        <f t="shared" si="26"/>
        <v>185865</v>
      </c>
      <c r="I25" s="183">
        <f aca="true" t="shared" si="28" ref="I25">SUM(I26:I33)</f>
        <v>430488</v>
      </c>
      <c r="J25" s="184">
        <f t="shared" si="26"/>
        <v>439715</v>
      </c>
      <c r="K25" s="182">
        <f t="shared" si="5"/>
        <v>2235961</v>
      </c>
      <c r="L25" s="183">
        <f t="shared" si="4"/>
        <v>2487986</v>
      </c>
      <c r="M25" s="184">
        <f t="shared" si="4"/>
        <v>1752781</v>
      </c>
    </row>
    <row r="26" spans="1:13" ht="15" customHeight="1">
      <c r="A26" s="171" t="s">
        <v>23</v>
      </c>
      <c r="B26" s="174">
        <v>1534222</v>
      </c>
      <c r="C26" s="175">
        <v>1540270</v>
      </c>
      <c r="D26" s="176">
        <v>948690</v>
      </c>
      <c r="E26" s="174"/>
      <c r="F26" s="1103"/>
      <c r="G26" s="1104"/>
      <c r="H26" s="174">
        <v>2000</v>
      </c>
      <c r="I26" s="175">
        <v>2000</v>
      </c>
      <c r="J26" s="176">
        <v>3765</v>
      </c>
      <c r="K26" s="174">
        <f t="shared" si="5"/>
        <v>1536222</v>
      </c>
      <c r="L26" s="175">
        <f t="shared" si="4"/>
        <v>1542270</v>
      </c>
      <c r="M26" s="176">
        <f t="shared" si="4"/>
        <v>952455</v>
      </c>
    </row>
    <row r="27" spans="1:13" ht="15" customHeight="1">
      <c r="A27" s="171" t="s">
        <v>90</v>
      </c>
      <c r="B27" s="174">
        <v>8093</v>
      </c>
      <c r="C27" s="175">
        <v>8178</v>
      </c>
      <c r="D27" s="176">
        <v>7278</v>
      </c>
      <c r="E27" s="174">
        <v>7460</v>
      </c>
      <c r="F27" s="175">
        <v>7460</v>
      </c>
      <c r="G27" s="176">
        <v>9777</v>
      </c>
      <c r="H27" s="174">
        <v>50716</v>
      </c>
      <c r="I27" s="175">
        <v>235876</v>
      </c>
      <c r="J27" s="176">
        <v>231872</v>
      </c>
      <c r="K27" s="174">
        <f t="shared" si="5"/>
        <v>66269</v>
      </c>
      <c r="L27" s="175">
        <f t="shared" si="4"/>
        <v>251514</v>
      </c>
      <c r="M27" s="176">
        <f t="shared" si="4"/>
        <v>248927</v>
      </c>
    </row>
    <row r="28" spans="1:13" ht="15" customHeight="1">
      <c r="A28" s="171" t="s">
        <v>27</v>
      </c>
      <c r="B28" s="174">
        <v>25984</v>
      </c>
      <c r="C28" s="175">
        <v>25984</v>
      </c>
      <c r="D28" s="176">
        <v>25984</v>
      </c>
      <c r="E28" s="174"/>
      <c r="F28" s="175"/>
      <c r="G28" s="176"/>
      <c r="H28" s="174">
        <v>1976</v>
      </c>
      <c r="I28" s="175">
        <v>1976</v>
      </c>
      <c r="J28" s="176">
        <v>3095</v>
      </c>
      <c r="K28" s="174">
        <f t="shared" si="5"/>
        <v>27960</v>
      </c>
      <c r="L28" s="175">
        <f t="shared" si="4"/>
        <v>27960</v>
      </c>
      <c r="M28" s="176">
        <f t="shared" si="4"/>
        <v>29079</v>
      </c>
    </row>
    <row r="29" spans="1:13" ht="15" customHeight="1">
      <c r="A29" s="171" t="s">
        <v>91</v>
      </c>
      <c r="B29" s="174">
        <v>94520</v>
      </c>
      <c r="C29" s="175">
        <v>94520</v>
      </c>
      <c r="D29" s="176">
        <v>88949</v>
      </c>
      <c r="E29" s="174"/>
      <c r="F29" s="175"/>
      <c r="G29" s="176"/>
      <c r="H29" s="174"/>
      <c r="I29" s="175"/>
      <c r="J29" s="176"/>
      <c r="K29" s="174">
        <f t="shared" si="5"/>
        <v>94520</v>
      </c>
      <c r="L29" s="175">
        <f t="shared" si="4"/>
        <v>94520</v>
      </c>
      <c r="M29" s="176">
        <f t="shared" si="4"/>
        <v>88949</v>
      </c>
    </row>
    <row r="30" spans="1:13" ht="15" customHeight="1">
      <c r="A30" s="171" t="s">
        <v>31</v>
      </c>
      <c r="B30" s="174"/>
      <c r="C30" s="175"/>
      <c r="D30" s="176"/>
      <c r="E30" s="174"/>
      <c r="F30" s="175"/>
      <c r="G30" s="176"/>
      <c r="H30" s="174">
        <v>81688</v>
      </c>
      <c r="I30" s="175">
        <v>91657</v>
      </c>
      <c r="J30" s="176">
        <v>97002</v>
      </c>
      <c r="K30" s="174">
        <f t="shared" si="5"/>
        <v>81688</v>
      </c>
      <c r="L30" s="175">
        <f t="shared" si="4"/>
        <v>91657</v>
      </c>
      <c r="M30" s="176">
        <f t="shared" si="4"/>
        <v>97002</v>
      </c>
    </row>
    <row r="31" spans="1:13" ht="15" customHeight="1">
      <c r="A31" s="185" t="s">
        <v>32</v>
      </c>
      <c r="B31" s="174">
        <v>379567</v>
      </c>
      <c r="C31" s="175">
        <v>379811</v>
      </c>
      <c r="D31" s="176">
        <v>218380</v>
      </c>
      <c r="E31" s="174"/>
      <c r="F31" s="175"/>
      <c r="G31" s="176"/>
      <c r="H31" s="174">
        <v>49485</v>
      </c>
      <c r="I31" s="175">
        <v>98947</v>
      </c>
      <c r="J31" s="176">
        <v>103922</v>
      </c>
      <c r="K31" s="174">
        <f t="shared" si="5"/>
        <v>429052</v>
      </c>
      <c r="L31" s="175">
        <f t="shared" si="4"/>
        <v>478758</v>
      </c>
      <c r="M31" s="176">
        <f t="shared" si="4"/>
        <v>322302</v>
      </c>
    </row>
    <row r="32" spans="1:34" s="169" customFormat="1" ht="15" customHeight="1">
      <c r="A32" s="171" t="s">
        <v>801</v>
      </c>
      <c r="B32" s="174">
        <v>150</v>
      </c>
      <c r="C32" s="175">
        <v>150</v>
      </c>
      <c r="D32" s="176">
        <v>150</v>
      </c>
      <c r="E32" s="174"/>
      <c r="F32" s="175"/>
      <c r="G32" s="176"/>
      <c r="H32" s="174"/>
      <c r="I32" s="175"/>
      <c r="J32" s="176"/>
      <c r="K32" s="174">
        <f t="shared" si="5"/>
        <v>150</v>
      </c>
      <c r="L32" s="175">
        <f t="shared" si="4"/>
        <v>150</v>
      </c>
      <c r="M32" s="176">
        <f t="shared" si="4"/>
        <v>150</v>
      </c>
      <c r="N32" s="1089"/>
      <c r="O32" s="1089"/>
      <c r="P32" s="1089"/>
      <c r="Q32" s="1089"/>
      <c r="R32" s="1089"/>
      <c r="S32" s="1089"/>
      <c r="T32" s="1089"/>
      <c r="U32" s="1089"/>
      <c r="V32" s="1089"/>
      <c r="W32" s="1089"/>
      <c r="X32" s="1089"/>
      <c r="Y32" s="1089"/>
      <c r="Z32" s="1089"/>
      <c r="AA32" s="1089"/>
      <c r="AB32" s="1089"/>
      <c r="AC32" s="1089"/>
      <c r="AD32" s="1089"/>
      <c r="AE32" s="1089"/>
      <c r="AF32" s="1089"/>
      <c r="AG32" s="1089"/>
      <c r="AH32" s="1089"/>
    </row>
    <row r="33" spans="1:34" s="169" customFormat="1" ht="15" customHeight="1">
      <c r="A33" s="171" t="s">
        <v>34</v>
      </c>
      <c r="B33" s="174">
        <v>100</v>
      </c>
      <c r="C33" s="175">
        <v>193</v>
      </c>
      <c r="D33" s="176">
        <v>6776</v>
      </c>
      <c r="E33" s="174"/>
      <c r="F33" s="175">
        <v>932</v>
      </c>
      <c r="G33" s="176">
        <v>7082</v>
      </c>
      <c r="H33" s="174"/>
      <c r="I33" s="175">
        <v>32</v>
      </c>
      <c r="J33" s="176">
        <v>59</v>
      </c>
      <c r="K33" s="174">
        <f t="shared" si="5"/>
        <v>100</v>
      </c>
      <c r="L33" s="175">
        <f t="shared" si="4"/>
        <v>1157</v>
      </c>
      <c r="M33" s="176">
        <f t="shared" si="4"/>
        <v>13917</v>
      </c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</row>
    <row r="34" spans="1:13" ht="15" customHeight="1">
      <c r="A34" s="172" t="s">
        <v>36</v>
      </c>
      <c r="B34" s="182">
        <f>SUM(B35:B36)</f>
        <v>1500</v>
      </c>
      <c r="C34" s="183">
        <f aca="true" t="shared" si="29" ref="C34">SUM(C35:C36)</f>
        <v>27434</v>
      </c>
      <c r="D34" s="184">
        <f aca="true" t="shared" si="30" ref="D34:J34">SUM(D35:D36)</f>
        <v>27434</v>
      </c>
      <c r="E34" s="182">
        <f t="shared" si="30"/>
        <v>0</v>
      </c>
      <c r="F34" s="183">
        <f aca="true" t="shared" si="31" ref="F34">SUM(F35:F36)</f>
        <v>0</v>
      </c>
      <c r="G34" s="184">
        <f t="shared" si="30"/>
        <v>0</v>
      </c>
      <c r="H34" s="182">
        <f t="shared" si="30"/>
        <v>0</v>
      </c>
      <c r="I34" s="183">
        <f aca="true" t="shared" si="32" ref="I34">SUM(I35:I36)</f>
        <v>0</v>
      </c>
      <c r="J34" s="184">
        <f t="shared" si="30"/>
        <v>0</v>
      </c>
      <c r="K34" s="182">
        <f t="shared" si="5"/>
        <v>1500</v>
      </c>
      <c r="L34" s="183">
        <f t="shared" si="4"/>
        <v>27434</v>
      </c>
      <c r="M34" s="184">
        <f t="shared" si="4"/>
        <v>27434</v>
      </c>
    </row>
    <row r="35" spans="1:34" s="169" customFormat="1" ht="15" customHeight="1">
      <c r="A35" s="171" t="s">
        <v>37</v>
      </c>
      <c r="B35" s="174">
        <v>1500</v>
      </c>
      <c r="C35" s="175">
        <v>25879</v>
      </c>
      <c r="D35" s="176">
        <v>25879</v>
      </c>
      <c r="E35" s="174"/>
      <c r="F35" s="175"/>
      <c r="G35" s="176"/>
      <c r="H35" s="174"/>
      <c r="I35" s="175"/>
      <c r="J35" s="176"/>
      <c r="K35" s="174">
        <f aca="true" t="shared" si="33" ref="K35">B35+E35+H35</f>
        <v>1500</v>
      </c>
      <c r="L35" s="175">
        <f aca="true" t="shared" si="34" ref="L35:M35">C35+F35+I35</f>
        <v>25879</v>
      </c>
      <c r="M35" s="176">
        <f t="shared" si="34"/>
        <v>25879</v>
      </c>
      <c r="N35" s="1089"/>
      <c r="O35" s="1089"/>
      <c r="P35" s="1089"/>
      <c r="Q35" s="1089"/>
      <c r="R35" s="1089"/>
      <c r="S35" s="1089"/>
      <c r="T35" s="1089"/>
      <c r="U35" s="1089"/>
      <c r="V35" s="1089"/>
      <c r="W35" s="1089"/>
      <c r="X35" s="1089"/>
      <c r="Y35" s="1089"/>
      <c r="Z35" s="1089"/>
      <c r="AA35" s="1089"/>
      <c r="AB35" s="1089"/>
      <c r="AC35" s="1089"/>
      <c r="AD35" s="1089"/>
      <c r="AE35" s="1089"/>
      <c r="AF35" s="1089"/>
      <c r="AG35" s="1089"/>
      <c r="AH35" s="1089"/>
    </row>
    <row r="36" spans="1:34" s="169" customFormat="1" ht="15" customHeight="1">
      <c r="A36" s="171" t="s">
        <v>802</v>
      </c>
      <c r="B36" s="174"/>
      <c r="C36" s="175">
        <v>1555</v>
      </c>
      <c r="D36" s="176">
        <v>1555</v>
      </c>
      <c r="E36" s="174"/>
      <c r="F36" s="175"/>
      <c r="G36" s="176"/>
      <c r="H36" s="174"/>
      <c r="I36" s="175"/>
      <c r="J36" s="176"/>
      <c r="K36" s="174">
        <f t="shared" si="5"/>
        <v>0</v>
      </c>
      <c r="L36" s="175">
        <f t="shared" si="4"/>
        <v>1555</v>
      </c>
      <c r="M36" s="176">
        <f t="shared" si="4"/>
        <v>1555</v>
      </c>
      <c r="N36" s="1089"/>
      <c r="O36" s="1089"/>
      <c r="P36" s="1089"/>
      <c r="Q36" s="1089"/>
      <c r="R36" s="1089"/>
      <c r="S36" s="1089"/>
      <c r="T36" s="1089"/>
      <c r="U36" s="1089"/>
      <c r="V36" s="1089"/>
      <c r="W36" s="1089"/>
      <c r="X36" s="1089"/>
      <c r="Y36" s="1089"/>
      <c r="Z36" s="1089"/>
      <c r="AA36" s="1089"/>
      <c r="AB36" s="1089"/>
      <c r="AC36" s="1089"/>
      <c r="AD36" s="1089"/>
      <c r="AE36" s="1089"/>
      <c r="AF36" s="1089"/>
      <c r="AG36" s="1089"/>
      <c r="AH36" s="1089"/>
    </row>
    <row r="37" spans="1:34" s="169" customFormat="1" ht="15" customHeight="1">
      <c r="A37" s="172" t="s">
        <v>39</v>
      </c>
      <c r="B37" s="182">
        <f>SUM(B38:B39)</f>
        <v>50912</v>
      </c>
      <c r="C37" s="183">
        <f aca="true" t="shared" si="35" ref="C37">SUM(C38:C39)</f>
        <v>63812</v>
      </c>
      <c r="D37" s="184">
        <f aca="true" t="shared" si="36" ref="D37:J37">SUM(D38:D39)</f>
        <v>28812</v>
      </c>
      <c r="E37" s="182">
        <f t="shared" si="36"/>
        <v>0</v>
      </c>
      <c r="F37" s="183">
        <f aca="true" t="shared" si="37" ref="F37">SUM(F38:F39)</f>
        <v>0</v>
      </c>
      <c r="G37" s="184">
        <f t="shared" si="36"/>
        <v>0</v>
      </c>
      <c r="H37" s="182">
        <f t="shared" si="36"/>
        <v>0</v>
      </c>
      <c r="I37" s="183">
        <f aca="true" t="shared" si="38" ref="I37">SUM(I38:I39)</f>
        <v>18270</v>
      </c>
      <c r="J37" s="184">
        <f t="shared" si="36"/>
        <v>805</v>
      </c>
      <c r="K37" s="182">
        <f t="shared" si="5"/>
        <v>50912</v>
      </c>
      <c r="L37" s="183">
        <f t="shared" si="4"/>
        <v>82082</v>
      </c>
      <c r="M37" s="184">
        <f t="shared" si="4"/>
        <v>29617</v>
      </c>
      <c r="N37" s="1089"/>
      <c r="O37" s="1089"/>
      <c r="P37" s="1089"/>
      <c r="Q37" s="1089"/>
      <c r="R37" s="1089"/>
      <c r="S37" s="1089"/>
      <c r="T37" s="1089"/>
      <c r="U37" s="1089"/>
      <c r="V37" s="1089"/>
      <c r="W37" s="1089"/>
      <c r="X37" s="1089"/>
      <c r="Y37" s="1089"/>
      <c r="Z37" s="1089"/>
      <c r="AA37" s="1089"/>
      <c r="AB37" s="1089"/>
      <c r="AC37" s="1089"/>
      <c r="AD37" s="1089"/>
      <c r="AE37" s="1089"/>
      <c r="AF37" s="1089"/>
      <c r="AG37" s="1089"/>
      <c r="AH37" s="1089"/>
    </row>
    <row r="38" spans="1:34" s="169" customFormat="1" ht="15" customHeight="1">
      <c r="A38" s="171" t="s">
        <v>92</v>
      </c>
      <c r="B38" s="174">
        <f>'11. melléklet'!B41</f>
        <v>40000</v>
      </c>
      <c r="C38" s="175">
        <f>'11. melléklet'!C41</f>
        <v>55000</v>
      </c>
      <c r="D38" s="176">
        <f>'11. melléklet'!D41</f>
        <v>20000</v>
      </c>
      <c r="E38" s="174"/>
      <c r="F38" s="175"/>
      <c r="G38" s="176"/>
      <c r="H38" s="174"/>
      <c r="I38" s="175"/>
      <c r="J38" s="176"/>
      <c r="K38" s="174">
        <f t="shared" si="5"/>
        <v>40000</v>
      </c>
      <c r="L38" s="175">
        <f t="shared" si="4"/>
        <v>55000</v>
      </c>
      <c r="M38" s="176">
        <f t="shared" si="4"/>
        <v>20000</v>
      </c>
      <c r="N38" s="1089"/>
      <c r="O38" s="1089"/>
      <c r="P38" s="1089"/>
      <c r="Q38" s="1089"/>
      <c r="R38" s="1089"/>
      <c r="S38" s="1089"/>
      <c r="T38" s="1089"/>
      <c r="U38" s="1089"/>
      <c r="V38" s="1089"/>
      <c r="W38" s="1089"/>
      <c r="X38" s="1089"/>
      <c r="Y38" s="1089"/>
      <c r="Z38" s="1089"/>
      <c r="AA38" s="1089"/>
      <c r="AB38" s="1089"/>
      <c r="AC38" s="1089"/>
      <c r="AD38" s="1089"/>
      <c r="AE38" s="1089"/>
      <c r="AF38" s="1089"/>
      <c r="AG38" s="1089"/>
      <c r="AH38" s="1089"/>
    </row>
    <row r="39" spans="1:34" s="169" customFormat="1" ht="15" customHeight="1">
      <c r="A39" s="171" t="s">
        <v>9</v>
      </c>
      <c r="B39" s="174">
        <f>'11. melléklet'!B29</f>
        <v>10912</v>
      </c>
      <c r="C39" s="175">
        <f>'11. melléklet'!C29</f>
        <v>8812</v>
      </c>
      <c r="D39" s="176">
        <f>'11. melléklet'!D29</f>
        <v>8812</v>
      </c>
      <c r="E39" s="174"/>
      <c r="F39" s="175"/>
      <c r="G39" s="176"/>
      <c r="H39" s="174"/>
      <c r="I39" s="175">
        <v>18270</v>
      </c>
      <c r="J39" s="176">
        <v>805</v>
      </c>
      <c r="K39" s="174">
        <f t="shared" si="5"/>
        <v>10912</v>
      </c>
      <c r="L39" s="175">
        <f t="shared" si="4"/>
        <v>27082</v>
      </c>
      <c r="M39" s="176">
        <f t="shared" si="4"/>
        <v>9617</v>
      </c>
      <c r="N39" s="1089"/>
      <c r="O39" s="1089"/>
      <c r="P39" s="1089"/>
      <c r="Q39" s="1089"/>
      <c r="R39" s="1089"/>
      <c r="S39" s="1089"/>
      <c r="T39" s="1089"/>
      <c r="U39" s="1089"/>
      <c r="V39" s="1089"/>
      <c r="W39" s="1089"/>
      <c r="X39" s="1089"/>
      <c r="Y39" s="1089"/>
      <c r="Z39" s="1089"/>
      <c r="AA39" s="1089"/>
      <c r="AB39" s="1089"/>
      <c r="AC39" s="1089"/>
      <c r="AD39" s="1089"/>
      <c r="AE39" s="1089"/>
      <c r="AF39" s="1089"/>
      <c r="AG39" s="1089"/>
      <c r="AH39" s="1089"/>
    </row>
    <row r="40" spans="1:13" ht="15" customHeight="1">
      <c r="A40" s="186" t="s">
        <v>44</v>
      </c>
      <c r="B40" s="182">
        <f>SUM(B41:B42)</f>
        <v>191019</v>
      </c>
      <c r="C40" s="183">
        <f aca="true" t="shared" si="39" ref="C40">SUM(C41:C42)</f>
        <v>176809</v>
      </c>
      <c r="D40" s="184">
        <f aca="true" t="shared" si="40" ref="D40:J40">SUM(D41:D42)</f>
        <v>189809</v>
      </c>
      <c r="E40" s="182">
        <f t="shared" si="40"/>
        <v>600</v>
      </c>
      <c r="F40" s="183">
        <f aca="true" t="shared" si="41" ref="F40">SUM(F41:F42)</f>
        <v>600</v>
      </c>
      <c r="G40" s="184">
        <f t="shared" si="40"/>
        <v>600</v>
      </c>
      <c r="H40" s="182">
        <f t="shared" si="40"/>
        <v>0</v>
      </c>
      <c r="I40" s="183">
        <f aca="true" t="shared" si="42" ref="I40">SUM(I41:I42)</f>
        <v>245</v>
      </c>
      <c r="J40" s="184">
        <f t="shared" si="40"/>
        <v>246</v>
      </c>
      <c r="K40" s="182">
        <f t="shared" si="5"/>
        <v>191619</v>
      </c>
      <c r="L40" s="183">
        <f t="shared" si="4"/>
        <v>177654</v>
      </c>
      <c r="M40" s="184">
        <f t="shared" si="4"/>
        <v>190655</v>
      </c>
    </row>
    <row r="41" spans="1:13" ht="15" customHeight="1">
      <c r="A41" s="187" t="s">
        <v>92</v>
      </c>
      <c r="B41" s="174">
        <f>'11. melléklet'!B71</f>
        <v>736</v>
      </c>
      <c r="C41" s="175">
        <f>'11. melléklet'!C71</f>
        <v>776</v>
      </c>
      <c r="D41" s="176">
        <f>'11. melléklet'!D71</f>
        <v>776</v>
      </c>
      <c r="E41" s="174">
        <f>'11. melléklet'!B87</f>
        <v>600</v>
      </c>
      <c r="F41" s="175">
        <f>'11. melléklet'!C87</f>
        <v>600</v>
      </c>
      <c r="G41" s="176">
        <f>'11. melléklet'!D87</f>
        <v>600</v>
      </c>
      <c r="H41" s="174"/>
      <c r="I41" s="175"/>
      <c r="J41" s="176"/>
      <c r="K41" s="174">
        <f t="shared" si="5"/>
        <v>1336</v>
      </c>
      <c r="L41" s="175">
        <f t="shared" si="4"/>
        <v>1376</v>
      </c>
      <c r="M41" s="176">
        <f t="shared" si="4"/>
        <v>1376</v>
      </c>
    </row>
    <row r="42" spans="1:34" s="173" customFormat="1" ht="15" customHeight="1" thickBot="1">
      <c r="A42" s="189" t="s">
        <v>9</v>
      </c>
      <c r="B42" s="190">
        <f>'11. melléklet'!B63</f>
        <v>190283</v>
      </c>
      <c r="C42" s="191">
        <f>'11. melléklet'!C63</f>
        <v>176033</v>
      </c>
      <c r="D42" s="192">
        <f>'11. melléklet'!D63</f>
        <v>189033</v>
      </c>
      <c r="E42" s="190"/>
      <c r="F42" s="191"/>
      <c r="G42" s="192"/>
      <c r="H42" s="190"/>
      <c r="I42" s="191">
        <v>245</v>
      </c>
      <c r="J42" s="192">
        <v>246</v>
      </c>
      <c r="K42" s="190">
        <f t="shared" si="5"/>
        <v>190283</v>
      </c>
      <c r="L42" s="191">
        <f t="shared" si="4"/>
        <v>176278</v>
      </c>
      <c r="M42" s="192">
        <f t="shared" si="4"/>
        <v>189279</v>
      </c>
      <c r="N42" s="1114"/>
      <c r="O42" s="1114"/>
      <c r="P42" s="1114"/>
      <c r="Q42" s="1114"/>
      <c r="R42" s="1114"/>
      <c r="S42" s="1114"/>
      <c r="T42" s="1114"/>
      <c r="U42" s="1114"/>
      <c r="V42" s="1114"/>
      <c r="W42" s="1114"/>
      <c r="X42" s="1114"/>
      <c r="Y42" s="1114"/>
      <c r="Z42" s="1114"/>
      <c r="AA42" s="1114"/>
      <c r="AB42" s="1114"/>
      <c r="AC42" s="1114"/>
      <c r="AD42" s="1114"/>
      <c r="AE42" s="1114"/>
      <c r="AF42" s="1114"/>
      <c r="AG42" s="1114"/>
      <c r="AH42" s="1114"/>
    </row>
    <row r="43" spans="1:34" s="169" customFormat="1" ht="15" customHeight="1" thickBot="1">
      <c r="A43" s="194" t="s">
        <v>54</v>
      </c>
      <c r="B43" s="201">
        <f>B5+B8+B11+B13+B25+B34+B37+B40</f>
        <v>5589090</v>
      </c>
      <c r="C43" s="202">
        <f aca="true" t="shared" si="43" ref="C43">C5+C8+C11+C13+C25+C34+C37+C40</f>
        <v>7885196</v>
      </c>
      <c r="D43" s="203">
        <f aca="true" t="shared" si="44" ref="D43:J43">D5+D8+D11+D13+D25+D34+D37+D40</f>
        <v>7244419</v>
      </c>
      <c r="E43" s="201">
        <f t="shared" si="44"/>
        <v>39097</v>
      </c>
      <c r="F43" s="202">
        <f aca="true" t="shared" si="45" ref="F43">F5+F8+F11+F13+F25+F34+F37+F40</f>
        <v>160570</v>
      </c>
      <c r="G43" s="203">
        <f t="shared" si="44"/>
        <v>171454</v>
      </c>
      <c r="H43" s="201">
        <f t="shared" si="44"/>
        <v>258117</v>
      </c>
      <c r="I43" s="202">
        <f aca="true" t="shared" si="46" ref="I43">I5+I8+I11+I13+I25+I34+I37+I40</f>
        <v>538937</v>
      </c>
      <c r="J43" s="203">
        <f t="shared" si="44"/>
        <v>548423</v>
      </c>
      <c r="K43" s="201">
        <f t="shared" si="5"/>
        <v>5886304</v>
      </c>
      <c r="L43" s="202">
        <f t="shared" si="4"/>
        <v>8584703</v>
      </c>
      <c r="M43" s="203">
        <f t="shared" si="4"/>
        <v>7964296</v>
      </c>
      <c r="N43" s="1089"/>
      <c r="O43" s="1089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  <c r="Z43" s="1089"/>
      <c r="AA43" s="1089"/>
      <c r="AB43" s="1089"/>
      <c r="AC43" s="1089"/>
      <c r="AD43" s="1089"/>
      <c r="AE43" s="1089"/>
      <c r="AF43" s="1089"/>
      <c r="AG43" s="1089"/>
      <c r="AH43" s="1089"/>
    </row>
    <row r="44" spans="1:34" s="169" customFormat="1" ht="15" customHeight="1">
      <c r="A44" s="193" t="s">
        <v>96</v>
      </c>
      <c r="B44" s="796">
        <v>0</v>
      </c>
      <c r="C44" s="797">
        <v>1500000</v>
      </c>
      <c r="D44" s="798">
        <v>747000</v>
      </c>
      <c r="E44" s="796"/>
      <c r="F44" s="797"/>
      <c r="G44" s="798"/>
      <c r="H44" s="796"/>
      <c r="I44" s="797"/>
      <c r="J44" s="798"/>
      <c r="K44" s="796">
        <f t="shared" si="5"/>
        <v>0</v>
      </c>
      <c r="L44" s="797">
        <f t="shared" si="4"/>
        <v>1500000</v>
      </c>
      <c r="M44" s="798">
        <f t="shared" si="4"/>
        <v>747000</v>
      </c>
      <c r="N44" s="1089"/>
      <c r="O44" s="1089"/>
      <c r="P44" s="1089"/>
      <c r="Q44" s="1089"/>
      <c r="R44" s="1089"/>
      <c r="S44" s="1089"/>
      <c r="T44" s="1089"/>
      <c r="U44" s="1089"/>
      <c r="V44" s="1089"/>
      <c r="W44" s="1089"/>
      <c r="X44" s="1089"/>
      <c r="Y44" s="1089"/>
      <c r="Z44" s="1089"/>
      <c r="AA44" s="1089"/>
      <c r="AB44" s="1089"/>
      <c r="AC44" s="1089"/>
      <c r="AD44" s="1089"/>
      <c r="AE44" s="1089"/>
      <c r="AF44" s="1089"/>
      <c r="AG44" s="1089"/>
      <c r="AH44" s="1089"/>
    </row>
    <row r="45" spans="1:34" s="169" customFormat="1" ht="15" customHeight="1">
      <c r="A45" s="157" t="s">
        <v>93</v>
      </c>
      <c r="B45" s="182">
        <v>35000</v>
      </c>
      <c r="C45" s="183">
        <v>35000</v>
      </c>
      <c r="D45" s="184">
        <v>45699</v>
      </c>
      <c r="E45" s="182"/>
      <c r="F45" s="183"/>
      <c r="G45" s="184"/>
      <c r="H45" s="182"/>
      <c r="I45" s="183"/>
      <c r="J45" s="184"/>
      <c r="K45" s="182">
        <f t="shared" si="5"/>
        <v>35000</v>
      </c>
      <c r="L45" s="183">
        <f t="shared" si="4"/>
        <v>35000</v>
      </c>
      <c r="M45" s="184">
        <f t="shared" si="4"/>
        <v>45699</v>
      </c>
      <c r="N45" s="1089"/>
      <c r="O45" s="1089"/>
      <c r="P45" s="1089"/>
      <c r="Q45" s="1089"/>
      <c r="R45" s="1089"/>
      <c r="S45" s="1089"/>
      <c r="T45" s="1089"/>
      <c r="U45" s="1089"/>
      <c r="V45" s="1089"/>
      <c r="W45" s="1089"/>
      <c r="X45" s="1089"/>
      <c r="Y45" s="1089"/>
      <c r="Z45" s="1089"/>
      <c r="AA45" s="1089"/>
      <c r="AB45" s="1089"/>
      <c r="AC45" s="1089"/>
      <c r="AD45" s="1089"/>
      <c r="AE45" s="1089"/>
      <c r="AF45" s="1089"/>
      <c r="AG45" s="1089"/>
      <c r="AH45" s="1089"/>
    </row>
    <row r="46" spans="1:34" s="169" customFormat="1" ht="15" customHeight="1">
      <c r="A46" s="186" t="s">
        <v>798</v>
      </c>
      <c r="B46" s="182">
        <v>1653800</v>
      </c>
      <c r="C46" s="183">
        <f>'14. melléklet 1'!C18+'14. melléklet 2'!C18</f>
        <v>1592297</v>
      </c>
      <c r="D46" s="184">
        <f>'14. melléklet 1'!D18+'14. melléklet 2'!D18</f>
        <v>1592297</v>
      </c>
      <c r="E46" s="182"/>
      <c r="F46" s="183">
        <v>11326</v>
      </c>
      <c r="G46" s="184">
        <v>11326</v>
      </c>
      <c r="H46" s="182">
        <v>3187</v>
      </c>
      <c r="I46" s="183">
        <v>15316</v>
      </c>
      <c r="J46" s="184">
        <v>15322</v>
      </c>
      <c r="K46" s="182">
        <f t="shared" si="5"/>
        <v>1656987</v>
      </c>
      <c r="L46" s="183">
        <f t="shared" si="4"/>
        <v>1618939</v>
      </c>
      <c r="M46" s="184">
        <f t="shared" si="4"/>
        <v>1618945</v>
      </c>
      <c r="N46" s="1089"/>
      <c r="O46" s="1089"/>
      <c r="P46" s="1089"/>
      <c r="Q46" s="1089"/>
      <c r="R46" s="1089"/>
      <c r="S46" s="1089"/>
      <c r="T46" s="1089"/>
      <c r="U46" s="1089"/>
      <c r="V46" s="1089"/>
      <c r="W46" s="1089"/>
      <c r="X46" s="1089"/>
      <c r="Y46" s="1089"/>
      <c r="Z46" s="1089"/>
      <c r="AA46" s="1089"/>
      <c r="AB46" s="1089"/>
      <c r="AC46" s="1089"/>
      <c r="AD46" s="1089"/>
      <c r="AE46" s="1089"/>
      <c r="AF46" s="1089"/>
      <c r="AG46" s="1089"/>
      <c r="AH46" s="1089"/>
    </row>
    <row r="47" spans="1:34" s="169" customFormat="1" ht="15" customHeight="1" thickBot="1">
      <c r="A47" s="195" t="s">
        <v>60</v>
      </c>
      <c r="B47" s="799"/>
      <c r="C47" s="800"/>
      <c r="D47" s="801"/>
      <c r="E47" s="799">
        <v>781228</v>
      </c>
      <c r="F47" s="800">
        <v>786087</v>
      </c>
      <c r="G47" s="801">
        <v>610452</v>
      </c>
      <c r="H47" s="799">
        <v>1162747</v>
      </c>
      <c r="I47" s="800">
        <v>1215138</v>
      </c>
      <c r="J47" s="801">
        <v>1187146</v>
      </c>
      <c r="K47" s="799">
        <f t="shared" si="5"/>
        <v>1943975</v>
      </c>
      <c r="L47" s="800">
        <f t="shared" si="4"/>
        <v>2001225</v>
      </c>
      <c r="M47" s="801">
        <f t="shared" si="4"/>
        <v>1797598</v>
      </c>
      <c r="N47" s="1089"/>
      <c r="O47" s="1089"/>
      <c r="P47" s="1089"/>
      <c r="Q47" s="1089"/>
      <c r="R47" s="1089"/>
      <c r="S47" s="1089"/>
      <c r="T47" s="1089"/>
      <c r="U47" s="1089"/>
      <c r="V47" s="1089"/>
      <c r="W47" s="1089"/>
      <c r="X47" s="1089"/>
      <c r="Y47" s="1089"/>
      <c r="Z47" s="1089"/>
      <c r="AA47" s="1089"/>
      <c r="AB47" s="1089"/>
      <c r="AC47" s="1089"/>
      <c r="AD47" s="1089"/>
      <c r="AE47" s="1089"/>
      <c r="AF47" s="1089"/>
      <c r="AG47" s="1089"/>
      <c r="AH47" s="1089"/>
    </row>
    <row r="48" spans="1:34" s="169" customFormat="1" ht="15" customHeight="1" thickBot="1">
      <c r="A48" s="200" t="s">
        <v>53</v>
      </c>
      <c r="B48" s="201">
        <f>SUM(B44:B47)</f>
        <v>1688800</v>
      </c>
      <c r="C48" s="202">
        <f aca="true" t="shared" si="47" ref="C48">SUM(C44:C47)</f>
        <v>3127297</v>
      </c>
      <c r="D48" s="203">
        <f aca="true" t="shared" si="48" ref="D48:J48">SUM(D44:D47)</f>
        <v>2384996</v>
      </c>
      <c r="E48" s="201">
        <f t="shared" si="48"/>
        <v>781228</v>
      </c>
      <c r="F48" s="202">
        <f aca="true" t="shared" si="49" ref="F48">SUM(F44:F47)</f>
        <v>797413</v>
      </c>
      <c r="G48" s="203">
        <f t="shared" si="48"/>
        <v>621778</v>
      </c>
      <c r="H48" s="201">
        <f t="shared" si="48"/>
        <v>1165934</v>
      </c>
      <c r="I48" s="202">
        <f aca="true" t="shared" si="50" ref="I48">SUM(I44:I47)</f>
        <v>1230454</v>
      </c>
      <c r="J48" s="203">
        <f t="shared" si="48"/>
        <v>1202468</v>
      </c>
      <c r="K48" s="201">
        <f t="shared" si="5"/>
        <v>3635962</v>
      </c>
      <c r="L48" s="202">
        <f t="shared" si="4"/>
        <v>5155164</v>
      </c>
      <c r="M48" s="203">
        <f t="shared" si="4"/>
        <v>4209242</v>
      </c>
      <c r="N48" s="1089"/>
      <c r="O48" s="1089"/>
      <c r="P48" s="1089"/>
      <c r="Q48" s="1089"/>
      <c r="R48" s="1089"/>
      <c r="S48" s="1089"/>
      <c r="T48" s="1089"/>
      <c r="U48" s="1089"/>
      <c r="V48" s="1089"/>
      <c r="W48" s="1089"/>
      <c r="X48" s="1089"/>
      <c r="Y48" s="1089"/>
      <c r="Z48" s="1089"/>
      <c r="AA48" s="1089"/>
      <c r="AB48" s="1089"/>
      <c r="AC48" s="1089"/>
      <c r="AD48" s="1089"/>
      <c r="AE48" s="1089"/>
      <c r="AF48" s="1089"/>
      <c r="AG48" s="1089"/>
      <c r="AH48" s="1089"/>
    </row>
    <row r="49" spans="1:34" s="169" customFormat="1" ht="15" customHeight="1" thickBot="1">
      <c r="A49" s="196" t="s">
        <v>51</v>
      </c>
      <c r="B49" s="197">
        <f>B43+B48</f>
        <v>7277890</v>
      </c>
      <c r="C49" s="198">
        <f aca="true" t="shared" si="51" ref="C49">C43+C48</f>
        <v>11012493</v>
      </c>
      <c r="D49" s="199">
        <f aca="true" t="shared" si="52" ref="D49:J49">D43+D48</f>
        <v>9629415</v>
      </c>
      <c r="E49" s="197">
        <f t="shared" si="52"/>
        <v>820325</v>
      </c>
      <c r="F49" s="198">
        <f aca="true" t="shared" si="53" ref="F49">F43+F48</f>
        <v>957983</v>
      </c>
      <c r="G49" s="199">
        <f t="shared" si="52"/>
        <v>793232</v>
      </c>
      <c r="H49" s="197">
        <f t="shared" si="52"/>
        <v>1424051</v>
      </c>
      <c r="I49" s="198">
        <f aca="true" t="shared" si="54" ref="I49">I43+I48</f>
        <v>1769391</v>
      </c>
      <c r="J49" s="199">
        <f t="shared" si="52"/>
        <v>1750891</v>
      </c>
      <c r="K49" s="197">
        <f t="shared" si="5"/>
        <v>9522266</v>
      </c>
      <c r="L49" s="198">
        <f t="shared" si="4"/>
        <v>13739867</v>
      </c>
      <c r="M49" s="199">
        <f t="shared" si="4"/>
        <v>12173538</v>
      </c>
      <c r="N49" s="1089"/>
      <c r="O49" s="1089"/>
      <c r="P49" s="1089"/>
      <c r="Q49" s="1089"/>
      <c r="R49" s="1089"/>
      <c r="S49" s="1089"/>
      <c r="T49" s="1089"/>
      <c r="U49" s="1089"/>
      <c r="V49" s="1089"/>
      <c r="W49" s="1089"/>
      <c r="X49" s="1089"/>
      <c r="Y49" s="1089"/>
      <c r="Z49" s="1089"/>
      <c r="AA49" s="1089"/>
      <c r="AB49" s="1089"/>
      <c r="AC49" s="1089"/>
      <c r="AD49" s="1089"/>
      <c r="AE49" s="1089"/>
      <c r="AF49" s="1089"/>
      <c r="AG49" s="1089"/>
      <c r="AH49" s="1089"/>
    </row>
    <row r="51" spans="1:10" ht="15">
      <c r="A51" s="1423" t="s">
        <v>995</v>
      </c>
      <c r="G51" s="188"/>
      <c r="I51" s="188"/>
      <c r="J51" s="188"/>
    </row>
    <row r="52" spans="1:12" ht="15">
      <c r="A52" s="1423" t="s">
        <v>996</v>
      </c>
      <c r="E52" s="188"/>
      <c r="F52" s="188"/>
      <c r="G52" s="188"/>
      <c r="I52" s="188"/>
      <c r="J52" s="188"/>
      <c r="K52" s="188"/>
      <c r="L52" s="188"/>
    </row>
    <row r="53" ht="15">
      <c r="A53" s="1423" t="s">
        <v>997</v>
      </c>
    </row>
    <row r="54" spans="1:13" ht="15">
      <c r="A54" s="1423" t="s">
        <v>998</v>
      </c>
      <c r="K54" s="188"/>
      <c r="L54" s="188"/>
      <c r="M54" s="188"/>
    </row>
    <row r="55" ht="15">
      <c r="A55" s="1423" t="s">
        <v>999</v>
      </c>
    </row>
    <row r="57" spans="8:9" ht="15">
      <c r="H57" s="188"/>
      <c r="I57" s="188"/>
    </row>
    <row r="65" spans="8:12" ht="15">
      <c r="H65" s="188"/>
      <c r="I65" s="188"/>
      <c r="K65" s="188"/>
      <c r="L65" s="188"/>
    </row>
  </sheetData>
  <mergeCells count="6">
    <mergeCell ref="A1:M1"/>
    <mergeCell ref="A3:A4"/>
    <mergeCell ref="B3:D3"/>
    <mergeCell ref="E3:G3"/>
    <mergeCell ref="H3:J3"/>
    <mergeCell ref="K3:M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Header>&amp;L&amp;"Times New Roman,Normál"&amp;10 3. melléklet 1,2,3,4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view="pageLayout" workbookViewId="0" topLeftCell="C1">
      <selection activeCell="C38" sqref="C38:C42"/>
    </sheetView>
  </sheetViews>
  <sheetFormatPr defaultColWidth="9.140625" defaultRowHeight="25.5" customHeight="1"/>
  <cols>
    <col min="1" max="2" width="9.140625" style="3" hidden="1" customWidth="1"/>
    <col min="3" max="3" width="62.7109375" style="3" customWidth="1"/>
    <col min="4" max="15" width="11.28125" style="3" customWidth="1"/>
    <col min="16" max="16" width="9.140625" style="3" customWidth="1"/>
    <col min="17" max="17" width="11.140625" style="3" bestFit="1" customWidth="1"/>
    <col min="18" max="16384" width="9.140625" style="3" customWidth="1"/>
  </cols>
  <sheetData>
    <row r="1" spans="3:15" s="143" customFormat="1" ht="15">
      <c r="C1" s="1425" t="s">
        <v>98</v>
      </c>
      <c r="D1" s="1425"/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</row>
    <row r="2" spans="3:15" s="143" customFormat="1" ht="15">
      <c r="C2" s="1425" t="s">
        <v>99</v>
      </c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</row>
    <row r="3" spans="3:12" s="143" customFormat="1" ht="15.75" thickBot="1"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24" ht="30.75" customHeight="1" thickBot="1">
      <c r="A4" s="233"/>
      <c r="B4" s="143"/>
      <c r="C4" s="1426" t="s">
        <v>100</v>
      </c>
      <c r="D4" s="1443" t="s">
        <v>76</v>
      </c>
      <c r="E4" s="1429"/>
      <c r="F4" s="1429"/>
      <c r="G4" s="1444" t="s">
        <v>795</v>
      </c>
      <c r="H4" s="1445"/>
      <c r="I4" s="1446"/>
      <c r="J4" s="1447" t="s">
        <v>94</v>
      </c>
      <c r="K4" s="1429"/>
      <c r="L4" s="1448"/>
      <c r="M4" s="1449" t="s">
        <v>78</v>
      </c>
      <c r="N4" s="1429"/>
      <c r="O4" s="1450"/>
      <c r="P4" s="143"/>
      <c r="Q4" s="143"/>
      <c r="R4" s="143"/>
      <c r="S4" s="143"/>
      <c r="T4" s="143"/>
      <c r="U4" s="143"/>
      <c r="V4" s="143"/>
      <c r="W4" s="143"/>
      <c r="X4" s="143"/>
    </row>
    <row r="5" spans="1:24" ht="29.25" thickBot="1">
      <c r="A5" s="11"/>
      <c r="B5" s="234"/>
      <c r="C5" s="1442"/>
      <c r="D5" s="235" t="s">
        <v>4</v>
      </c>
      <c r="E5" s="236" t="s">
        <v>915</v>
      </c>
      <c r="F5" s="237" t="s">
        <v>937</v>
      </c>
      <c r="G5" s="238" t="s">
        <v>4</v>
      </c>
      <c r="H5" s="239" t="s">
        <v>915</v>
      </c>
      <c r="I5" s="240" t="s">
        <v>937</v>
      </c>
      <c r="J5" s="241" t="s">
        <v>4</v>
      </c>
      <c r="K5" s="236" t="s">
        <v>915</v>
      </c>
      <c r="L5" s="240" t="s">
        <v>928</v>
      </c>
      <c r="M5" s="235" t="s">
        <v>4</v>
      </c>
      <c r="N5" s="236" t="s">
        <v>915</v>
      </c>
      <c r="O5" s="240" t="s">
        <v>937</v>
      </c>
      <c r="P5" s="143"/>
      <c r="Q5" s="143"/>
      <c r="R5" s="143"/>
      <c r="S5" s="143"/>
      <c r="T5" s="143"/>
      <c r="U5" s="143"/>
      <c r="V5" s="143"/>
      <c r="W5" s="143"/>
      <c r="X5" s="143"/>
    </row>
    <row r="6" spans="1:24" s="214" customFormat="1" ht="15" customHeight="1">
      <c r="A6" s="242"/>
      <c r="B6" s="224"/>
      <c r="C6" s="13" t="s">
        <v>7</v>
      </c>
      <c r="D6" s="243">
        <v>215364</v>
      </c>
      <c r="E6" s="244">
        <v>396166</v>
      </c>
      <c r="F6" s="245">
        <v>344976</v>
      </c>
      <c r="G6" s="246">
        <v>518371</v>
      </c>
      <c r="H6" s="247">
        <v>556885</v>
      </c>
      <c r="I6" s="248">
        <v>465444</v>
      </c>
      <c r="J6" s="249">
        <v>694122</v>
      </c>
      <c r="K6" s="244">
        <v>761767</v>
      </c>
      <c r="L6" s="245">
        <v>747555</v>
      </c>
      <c r="M6" s="250">
        <f>D6+G6+J6</f>
        <v>1427857</v>
      </c>
      <c r="N6" s="251">
        <f aca="true" t="shared" si="0" ref="N6:O32">E6+H6+K6</f>
        <v>1714818</v>
      </c>
      <c r="O6" s="10">
        <f t="shared" si="0"/>
        <v>1557975</v>
      </c>
      <c r="P6" s="224"/>
      <c r="Q6" s="224"/>
      <c r="R6" s="224"/>
      <c r="S6" s="224"/>
      <c r="T6" s="224"/>
      <c r="U6" s="224"/>
      <c r="V6" s="224"/>
      <c r="W6" s="224"/>
      <c r="X6" s="224"/>
    </row>
    <row r="7" spans="1:24" s="214" customFormat="1" ht="15" customHeight="1">
      <c r="A7" s="242"/>
      <c r="B7" s="224"/>
      <c r="C7" s="22" t="s">
        <v>101</v>
      </c>
      <c r="D7" s="252">
        <v>41189</v>
      </c>
      <c r="E7" s="253">
        <v>77017</v>
      </c>
      <c r="F7" s="254">
        <v>72953</v>
      </c>
      <c r="G7" s="255">
        <v>119114</v>
      </c>
      <c r="H7" s="256">
        <v>132608</v>
      </c>
      <c r="I7" s="257">
        <v>118599</v>
      </c>
      <c r="J7" s="258">
        <v>137190</v>
      </c>
      <c r="K7" s="253">
        <v>151983</v>
      </c>
      <c r="L7" s="254">
        <v>148684</v>
      </c>
      <c r="M7" s="259">
        <f aca="true" t="shared" si="1" ref="M7:M32">D7+G7+J7</f>
        <v>297493</v>
      </c>
      <c r="N7" s="260">
        <f t="shared" si="0"/>
        <v>361608</v>
      </c>
      <c r="O7" s="15">
        <f t="shared" si="0"/>
        <v>340236</v>
      </c>
      <c r="P7" s="224"/>
      <c r="Q7" s="224"/>
      <c r="R7" s="224"/>
      <c r="S7" s="224"/>
      <c r="T7" s="224"/>
      <c r="U7" s="224"/>
      <c r="V7" s="224"/>
      <c r="W7" s="224"/>
      <c r="X7" s="224"/>
    </row>
    <row r="8" spans="1:24" s="214" customFormat="1" ht="15" customHeight="1">
      <c r="A8" s="242"/>
      <c r="B8" s="224"/>
      <c r="C8" s="21" t="s">
        <v>13</v>
      </c>
      <c r="D8" s="261">
        <v>1344936</v>
      </c>
      <c r="E8" s="262">
        <v>1666019</v>
      </c>
      <c r="F8" s="263">
        <v>1188591</v>
      </c>
      <c r="G8" s="264">
        <v>170175</v>
      </c>
      <c r="H8" s="265">
        <v>239048</v>
      </c>
      <c r="I8" s="266">
        <v>180054</v>
      </c>
      <c r="J8" s="267">
        <v>544616</v>
      </c>
      <c r="K8" s="262">
        <v>782698</v>
      </c>
      <c r="L8" s="263">
        <v>780374</v>
      </c>
      <c r="M8" s="259">
        <f t="shared" si="1"/>
        <v>2059727</v>
      </c>
      <c r="N8" s="260">
        <f t="shared" si="0"/>
        <v>2687765</v>
      </c>
      <c r="O8" s="15">
        <f t="shared" si="0"/>
        <v>2149019</v>
      </c>
      <c r="P8" s="224"/>
      <c r="Q8" s="268"/>
      <c r="R8" s="224"/>
      <c r="S8" s="224"/>
      <c r="T8" s="224"/>
      <c r="U8" s="224"/>
      <c r="V8" s="224"/>
      <c r="W8" s="224"/>
      <c r="X8" s="224"/>
    </row>
    <row r="9" spans="1:24" s="214" customFormat="1" ht="15" customHeight="1">
      <c r="A9" s="242"/>
      <c r="B9" s="224"/>
      <c r="C9" s="22" t="s">
        <v>15</v>
      </c>
      <c r="D9" s="261">
        <f>'9. melléklet'!B21</f>
        <v>67900</v>
      </c>
      <c r="E9" s="262">
        <f>'9. melléklet'!C21</f>
        <v>62514</v>
      </c>
      <c r="F9" s="263">
        <f>'9. melléklet'!D21</f>
        <v>70333</v>
      </c>
      <c r="G9" s="264"/>
      <c r="H9" s="265"/>
      <c r="I9" s="266"/>
      <c r="J9" s="267"/>
      <c r="K9" s="262"/>
      <c r="L9" s="263"/>
      <c r="M9" s="259">
        <f t="shared" si="1"/>
        <v>67900</v>
      </c>
      <c r="N9" s="260">
        <f t="shared" si="0"/>
        <v>62514</v>
      </c>
      <c r="O9" s="15">
        <f t="shared" si="0"/>
        <v>70333</v>
      </c>
      <c r="P9" s="224"/>
      <c r="Q9" s="224"/>
      <c r="R9" s="224"/>
      <c r="S9" s="224"/>
      <c r="T9" s="224"/>
      <c r="U9" s="224"/>
      <c r="V9" s="224"/>
      <c r="W9" s="224"/>
      <c r="X9" s="224"/>
    </row>
    <row r="10" spans="1:24" s="214" customFormat="1" ht="15" customHeight="1">
      <c r="A10" s="242"/>
      <c r="B10" s="224"/>
      <c r="C10" s="21" t="s">
        <v>17</v>
      </c>
      <c r="D10" s="261">
        <f>SUM(D11:D15)</f>
        <v>1089152</v>
      </c>
      <c r="E10" s="262">
        <f aca="true" t="shared" si="2" ref="E10">SUM(E11:E15)</f>
        <v>1356124</v>
      </c>
      <c r="F10" s="263">
        <f aca="true" t="shared" si="3" ref="F10:L10">SUM(F11:F15)</f>
        <v>1400252</v>
      </c>
      <c r="G10" s="264">
        <f t="shared" si="3"/>
        <v>0</v>
      </c>
      <c r="H10" s="265">
        <f aca="true" t="shared" si="4" ref="H10">SUM(H11:H15)</f>
        <v>118</v>
      </c>
      <c r="I10" s="266">
        <f t="shared" si="3"/>
        <v>118</v>
      </c>
      <c r="J10" s="267">
        <f t="shared" si="3"/>
        <v>0</v>
      </c>
      <c r="K10" s="262">
        <f aca="true" t="shared" si="5" ref="K10">SUM(K11:K15)</f>
        <v>0</v>
      </c>
      <c r="L10" s="263">
        <f t="shared" si="3"/>
        <v>0</v>
      </c>
      <c r="M10" s="259">
        <f t="shared" si="1"/>
        <v>1089152</v>
      </c>
      <c r="N10" s="260">
        <f t="shared" si="0"/>
        <v>1356242</v>
      </c>
      <c r="O10" s="15">
        <f t="shared" si="0"/>
        <v>1400370</v>
      </c>
      <c r="P10" s="224"/>
      <c r="Q10" s="224"/>
      <c r="R10" s="224"/>
      <c r="S10" s="224"/>
      <c r="T10" s="224"/>
      <c r="U10" s="224"/>
      <c r="V10" s="224"/>
      <c r="W10" s="224"/>
      <c r="X10" s="224"/>
    </row>
    <row r="11" spans="1:24" ht="15" customHeight="1">
      <c r="A11" s="233"/>
      <c r="B11" s="143"/>
      <c r="C11" s="18" t="s">
        <v>18</v>
      </c>
      <c r="D11" s="204">
        <v>18000</v>
      </c>
      <c r="E11" s="205">
        <v>500</v>
      </c>
      <c r="F11" s="206">
        <v>18140</v>
      </c>
      <c r="G11" s="207"/>
      <c r="H11" s="208"/>
      <c r="I11" s="209"/>
      <c r="J11" s="210"/>
      <c r="K11" s="205"/>
      <c r="L11" s="206"/>
      <c r="M11" s="259">
        <f t="shared" si="1"/>
        <v>18000</v>
      </c>
      <c r="N11" s="260">
        <f t="shared" si="0"/>
        <v>500</v>
      </c>
      <c r="O11" s="15">
        <f t="shared" si="0"/>
        <v>18140</v>
      </c>
      <c r="P11" s="143"/>
      <c r="Q11" s="143"/>
      <c r="R11" s="143"/>
      <c r="S11" s="143"/>
      <c r="T11" s="143"/>
      <c r="U11" s="143"/>
      <c r="V11" s="143"/>
      <c r="W11" s="143"/>
      <c r="X11" s="143"/>
    </row>
    <row r="12" spans="1:24" ht="15" customHeight="1">
      <c r="A12" s="233"/>
      <c r="B12" s="143"/>
      <c r="C12" s="18" t="s">
        <v>19</v>
      </c>
      <c r="D12" s="204"/>
      <c r="E12" s="205">
        <v>17500</v>
      </c>
      <c r="F12" s="206">
        <v>17500</v>
      </c>
      <c r="G12" s="207"/>
      <c r="H12" s="208"/>
      <c r="I12" s="209"/>
      <c r="J12" s="210"/>
      <c r="K12" s="205"/>
      <c r="L12" s="206"/>
      <c r="M12" s="259">
        <f t="shared" si="1"/>
        <v>0</v>
      </c>
      <c r="N12" s="260">
        <f t="shared" si="0"/>
        <v>17500</v>
      </c>
      <c r="O12" s="15">
        <f t="shared" si="0"/>
        <v>17500</v>
      </c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:24" ht="15" customHeight="1">
      <c r="A13" s="233"/>
      <c r="B13" s="143"/>
      <c r="C13" s="27" t="s">
        <v>20</v>
      </c>
      <c r="D13" s="211">
        <f>'10. melléklet'!B63</f>
        <v>40000</v>
      </c>
      <c r="E13" s="212">
        <f>'10. melléklet'!C63</f>
        <v>55000</v>
      </c>
      <c r="F13" s="213">
        <f>'10. melléklet'!D63</f>
        <v>62700</v>
      </c>
      <c r="G13" s="269"/>
      <c r="H13" s="270"/>
      <c r="I13" s="271"/>
      <c r="J13" s="272"/>
      <c r="K13" s="212"/>
      <c r="L13" s="213"/>
      <c r="M13" s="259">
        <f t="shared" si="1"/>
        <v>40000</v>
      </c>
      <c r="N13" s="260">
        <f t="shared" si="0"/>
        <v>55000</v>
      </c>
      <c r="O13" s="15">
        <f t="shared" si="0"/>
        <v>62700</v>
      </c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:24" ht="15" customHeight="1">
      <c r="A14" s="233"/>
      <c r="B14" s="143"/>
      <c r="C14" s="27" t="s">
        <v>22</v>
      </c>
      <c r="D14" s="211">
        <f>'10. melléklet'!B56</f>
        <v>916152</v>
      </c>
      <c r="E14" s="212">
        <f>'10. melléklet'!C56</f>
        <v>1058046</v>
      </c>
      <c r="F14" s="213">
        <f>'10. melléklet'!D56</f>
        <v>1085489</v>
      </c>
      <c r="G14" s="269">
        <f>'10. melléklet'!B88</f>
        <v>0</v>
      </c>
      <c r="H14" s="270">
        <f>'10. melléklet'!C88</f>
        <v>118</v>
      </c>
      <c r="I14" s="271">
        <f>'10. melléklet'!D88</f>
        <v>118</v>
      </c>
      <c r="J14" s="272"/>
      <c r="K14" s="212"/>
      <c r="L14" s="213"/>
      <c r="M14" s="259">
        <f t="shared" si="1"/>
        <v>916152</v>
      </c>
      <c r="N14" s="260">
        <f t="shared" si="0"/>
        <v>1058164</v>
      </c>
      <c r="O14" s="15">
        <f t="shared" si="0"/>
        <v>1085607</v>
      </c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4" ht="15" customHeight="1">
      <c r="A15" s="233"/>
      <c r="B15" s="143"/>
      <c r="C15" s="18" t="s">
        <v>24</v>
      </c>
      <c r="D15" s="211">
        <f>SUM(D16:D18)</f>
        <v>115000</v>
      </c>
      <c r="E15" s="212">
        <f aca="true" t="shared" si="6" ref="E15">SUM(E16:E18)</f>
        <v>225078</v>
      </c>
      <c r="F15" s="213">
        <f aca="true" t="shared" si="7" ref="F15:L15">SUM(F16:F18)</f>
        <v>216423</v>
      </c>
      <c r="G15" s="269">
        <f t="shared" si="7"/>
        <v>0</v>
      </c>
      <c r="H15" s="270">
        <f aca="true" t="shared" si="8" ref="H15">SUM(H16:H18)</f>
        <v>0</v>
      </c>
      <c r="I15" s="271">
        <f t="shared" si="7"/>
        <v>0</v>
      </c>
      <c r="J15" s="272">
        <f t="shared" si="7"/>
        <v>0</v>
      </c>
      <c r="K15" s="212">
        <f aca="true" t="shared" si="9" ref="K15">SUM(K16:K18)</f>
        <v>0</v>
      </c>
      <c r="L15" s="213">
        <f t="shared" si="7"/>
        <v>0</v>
      </c>
      <c r="M15" s="259">
        <f t="shared" si="1"/>
        <v>115000</v>
      </c>
      <c r="N15" s="260">
        <f t="shared" si="0"/>
        <v>225078</v>
      </c>
      <c r="O15" s="15">
        <f t="shared" si="0"/>
        <v>216423</v>
      </c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283" customFormat="1" ht="15" customHeight="1">
      <c r="A16" s="273"/>
      <c r="B16" s="274"/>
      <c r="C16" s="275" t="s">
        <v>26</v>
      </c>
      <c r="D16" s="276">
        <f>'16. melléklet'!B7</f>
        <v>15000</v>
      </c>
      <c r="E16" s="277">
        <f>'16. melléklet'!C7</f>
        <v>4135</v>
      </c>
      <c r="F16" s="278">
        <f>'16. melléklet'!D7</f>
        <v>3728</v>
      </c>
      <c r="G16" s="279"/>
      <c r="H16" s="280"/>
      <c r="I16" s="281"/>
      <c r="J16" s="282"/>
      <c r="K16" s="277"/>
      <c r="L16" s="278"/>
      <c r="M16" s="790">
        <f t="shared" si="1"/>
        <v>15000</v>
      </c>
      <c r="N16" s="791">
        <f t="shared" si="0"/>
        <v>4135</v>
      </c>
      <c r="O16" s="792">
        <f t="shared" si="0"/>
        <v>3728</v>
      </c>
      <c r="P16" s="274"/>
      <c r="Q16" s="274"/>
      <c r="R16" s="274"/>
      <c r="S16" s="274"/>
      <c r="T16" s="274"/>
      <c r="U16" s="274"/>
      <c r="V16" s="274"/>
      <c r="W16" s="274"/>
      <c r="X16" s="274"/>
    </row>
    <row r="17" spans="1:24" s="283" customFormat="1" ht="15" customHeight="1">
      <c r="A17" s="273"/>
      <c r="B17" s="274"/>
      <c r="C17" s="275" t="s">
        <v>102</v>
      </c>
      <c r="D17" s="276">
        <f>'16. melléklet'!B10</f>
        <v>100000</v>
      </c>
      <c r="E17" s="277">
        <f>'16. melléklet'!C10</f>
        <v>211600</v>
      </c>
      <c r="F17" s="278">
        <f>'16. melléklet'!D10</f>
        <v>203352</v>
      </c>
      <c r="G17" s="279"/>
      <c r="H17" s="280"/>
      <c r="I17" s="281"/>
      <c r="J17" s="282"/>
      <c r="K17" s="277"/>
      <c r="L17" s="278"/>
      <c r="M17" s="790">
        <f t="shared" si="1"/>
        <v>100000</v>
      </c>
      <c r="N17" s="791">
        <f t="shared" si="0"/>
        <v>211600</v>
      </c>
      <c r="O17" s="792">
        <f t="shared" si="0"/>
        <v>203352</v>
      </c>
      <c r="P17" s="274"/>
      <c r="Q17" s="274"/>
      <c r="R17" s="274"/>
      <c r="S17" s="274"/>
      <c r="T17" s="274"/>
      <c r="U17" s="274"/>
      <c r="V17" s="274"/>
      <c r="W17" s="274"/>
      <c r="X17" s="274"/>
    </row>
    <row r="18" spans="1:24" s="283" customFormat="1" ht="15" customHeight="1">
      <c r="A18" s="274"/>
      <c r="B18" s="274"/>
      <c r="C18" s="275" t="s">
        <v>30</v>
      </c>
      <c r="D18" s="276">
        <f>'16. melléklet'!B14</f>
        <v>0</v>
      </c>
      <c r="E18" s="277">
        <f>'16. melléklet'!C14</f>
        <v>9343</v>
      </c>
      <c r="F18" s="278">
        <f>'16. melléklet'!D14</f>
        <v>9343</v>
      </c>
      <c r="G18" s="279"/>
      <c r="H18" s="280"/>
      <c r="I18" s="281"/>
      <c r="J18" s="282"/>
      <c r="K18" s="277"/>
      <c r="L18" s="278"/>
      <c r="M18" s="790">
        <f t="shared" si="1"/>
        <v>0</v>
      </c>
      <c r="N18" s="791">
        <f t="shared" si="0"/>
        <v>9343</v>
      </c>
      <c r="O18" s="792">
        <f t="shared" si="0"/>
        <v>9343</v>
      </c>
      <c r="P18" s="274"/>
      <c r="Q18" s="274"/>
      <c r="R18" s="274"/>
      <c r="S18" s="274"/>
      <c r="T18" s="274"/>
      <c r="U18" s="274"/>
      <c r="V18" s="274"/>
      <c r="W18" s="274"/>
      <c r="X18" s="274"/>
    </row>
    <row r="19" spans="1:24" s="214" customFormat="1" ht="15" customHeight="1">
      <c r="A19" s="224"/>
      <c r="B19" s="224"/>
      <c r="C19" s="22" t="s">
        <v>796</v>
      </c>
      <c r="D19" s="252">
        <f>'7. melléklet '!C4</f>
        <v>1833212</v>
      </c>
      <c r="E19" s="253">
        <f>'7. melléklet '!D4</f>
        <v>3038598</v>
      </c>
      <c r="F19" s="254">
        <f>'7. melléklet '!E4</f>
        <v>3124466</v>
      </c>
      <c r="G19" s="255">
        <f>'7. melléklet '!C76</f>
        <v>11465</v>
      </c>
      <c r="H19" s="256">
        <f>'7. melléklet '!D76</f>
        <v>28124</v>
      </c>
      <c r="I19" s="257">
        <f>'7. melléklet '!E76</f>
        <v>27817</v>
      </c>
      <c r="J19" s="258">
        <f>'7. melléklet '!C97</f>
        <v>19052</v>
      </c>
      <c r="K19" s="253">
        <v>49115</v>
      </c>
      <c r="L19" s="254">
        <v>50636</v>
      </c>
      <c r="M19" s="259">
        <f t="shared" si="1"/>
        <v>1863729</v>
      </c>
      <c r="N19" s="260">
        <f t="shared" si="0"/>
        <v>3115837</v>
      </c>
      <c r="O19" s="15">
        <f t="shared" si="0"/>
        <v>3202919</v>
      </c>
      <c r="P19" s="224"/>
      <c r="Q19" s="224"/>
      <c r="R19" s="224"/>
      <c r="S19" s="224"/>
      <c r="T19" s="224"/>
      <c r="U19" s="224"/>
      <c r="V19" s="224"/>
      <c r="W19" s="224"/>
      <c r="X19" s="224"/>
    </row>
    <row r="20" spans="1:24" s="214" customFormat="1" ht="15" customHeight="1">
      <c r="A20" s="224"/>
      <c r="B20" s="224"/>
      <c r="C20" s="22" t="s">
        <v>797</v>
      </c>
      <c r="D20" s="252">
        <f>'8. melléklet'!D4</f>
        <v>500095</v>
      </c>
      <c r="E20" s="253">
        <f>'8. melléklet'!E4</f>
        <v>713337</v>
      </c>
      <c r="F20" s="254">
        <f>'8. melléklet'!F4</f>
        <v>730293</v>
      </c>
      <c r="G20" s="255"/>
      <c r="H20" s="256"/>
      <c r="I20" s="257"/>
      <c r="J20" s="258">
        <f>'8. melléklet'!D34</f>
        <v>29071</v>
      </c>
      <c r="K20" s="253">
        <v>23828</v>
      </c>
      <c r="L20" s="254">
        <v>23642</v>
      </c>
      <c r="M20" s="259">
        <f t="shared" si="1"/>
        <v>529166</v>
      </c>
      <c r="N20" s="260">
        <f t="shared" si="0"/>
        <v>737165</v>
      </c>
      <c r="O20" s="15">
        <f t="shared" si="0"/>
        <v>753935</v>
      </c>
      <c r="P20" s="224"/>
      <c r="Q20" s="224"/>
      <c r="R20" s="224"/>
      <c r="S20" s="224"/>
      <c r="T20" s="224"/>
      <c r="U20" s="224"/>
      <c r="V20" s="224"/>
      <c r="W20" s="224"/>
      <c r="X20" s="224"/>
    </row>
    <row r="21" spans="1:24" s="214" customFormat="1" ht="15" customHeight="1">
      <c r="A21" s="224"/>
      <c r="B21" s="224"/>
      <c r="C21" s="22" t="s">
        <v>38</v>
      </c>
      <c r="D21" s="252">
        <f>SUM(D22:D24)</f>
        <v>56000</v>
      </c>
      <c r="E21" s="253">
        <f aca="true" t="shared" si="10" ref="E21">SUM(E22:E24)</f>
        <v>6990</v>
      </c>
      <c r="F21" s="254">
        <f aca="true" t="shared" si="11" ref="F21">SUM(F22:F24)</f>
        <v>2450</v>
      </c>
      <c r="G21" s="255">
        <f aca="true" t="shared" si="12" ref="G21">SUM(G22:G24)</f>
        <v>1200</v>
      </c>
      <c r="H21" s="256">
        <f aca="true" t="shared" si="13" ref="H21:I21">SUM(H22:H24)</f>
        <v>1200</v>
      </c>
      <c r="I21" s="257">
        <f t="shared" si="13"/>
        <v>1200</v>
      </c>
      <c r="J21" s="258">
        <f aca="true" t="shared" si="14" ref="J21:K21">SUM(J22:J24)</f>
        <v>0</v>
      </c>
      <c r="K21" s="253">
        <f t="shared" si="14"/>
        <v>0</v>
      </c>
      <c r="L21" s="254">
        <f aca="true" t="shared" si="15" ref="L21">SUM(L22:L24)</f>
        <v>0</v>
      </c>
      <c r="M21" s="259">
        <f t="shared" si="1"/>
        <v>57200</v>
      </c>
      <c r="N21" s="260">
        <f t="shared" si="0"/>
        <v>8190</v>
      </c>
      <c r="O21" s="15">
        <f t="shared" si="0"/>
        <v>3650</v>
      </c>
      <c r="P21" s="224"/>
      <c r="Q21" s="224"/>
      <c r="R21" s="224"/>
      <c r="S21" s="224"/>
      <c r="T21" s="224"/>
      <c r="U21" s="224"/>
      <c r="V21" s="224"/>
      <c r="W21" s="224"/>
      <c r="X21" s="224"/>
    </row>
    <row r="22" spans="1:24" ht="15" customHeight="1">
      <c r="A22" s="143"/>
      <c r="B22" s="143"/>
      <c r="C22" s="18" t="s">
        <v>20</v>
      </c>
      <c r="D22" s="211">
        <f>'10. melléklet'!B80</f>
        <v>0</v>
      </c>
      <c r="E22" s="212">
        <f>'10. melléklet'!C80</f>
        <v>200</v>
      </c>
      <c r="F22" s="213">
        <f>'10. melléklet'!D80</f>
        <v>400</v>
      </c>
      <c r="G22" s="269">
        <f>'10. melléklet'!B91</f>
        <v>1200</v>
      </c>
      <c r="H22" s="270">
        <f>'10. melléklet'!C91</f>
        <v>1200</v>
      </c>
      <c r="I22" s="271">
        <f>'10. melléklet'!D91</f>
        <v>1200</v>
      </c>
      <c r="J22" s="272"/>
      <c r="K22" s="212"/>
      <c r="L22" s="213"/>
      <c r="M22" s="259">
        <f t="shared" si="1"/>
        <v>1200</v>
      </c>
      <c r="N22" s="260">
        <f t="shared" si="0"/>
        <v>1400</v>
      </c>
      <c r="O22" s="15">
        <f t="shared" si="0"/>
        <v>1600</v>
      </c>
      <c r="P22" s="143"/>
      <c r="Q22" s="143"/>
      <c r="R22" s="143"/>
      <c r="S22" s="143"/>
      <c r="T22" s="143"/>
      <c r="U22" s="143"/>
      <c r="V22" s="143"/>
      <c r="W22" s="143"/>
      <c r="X22" s="143"/>
    </row>
    <row r="23" spans="1:24" ht="15" customHeight="1">
      <c r="A23" s="143"/>
      <c r="B23" s="143"/>
      <c r="C23" s="27" t="s">
        <v>40</v>
      </c>
      <c r="D23" s="211">
        <f>'10. melléklet'!B75</f>
        <v>6000</v>
      </c>
      <c r="E23" s="212">
        <f>'10. melléklet'!C75</f>
        <v>6790</v>
      </c>
      <c r="F23" s="213">
        <f>'10. melléklet'!D75</f>
        <v>2050</v>
      </c>
      <c r="G23" s="269"/>
      <c r="H23" s="270"/>
      <c r="I23" s="271"/>
      <c r="J23" s="272"/>
      <c r="K23" s="212"/>
      <c r="L23" s="213"/>
      <c r="M23" s="259">
        <f t="shared" si="1"/>
        <v>6000</v>
      </c>
      <c r="N23" s="260">
        <f t="shared" si="0"/>
        <v>6790</v>
      </c>
      <c r="O23" s="15">
        <f t="shared" si="0"/>
        <v>2050</v>
      </c>
      <c r="P23" s="143"/>
      <c r="Q23" s="143"/>
      <c r="R23" s="143"/>
      <c r="S23" s="143"/>
      <c r="T23" s="143"/>
      <c r="U23" s="143"/>
      <c r="V23" s="143"/>
      <c r="W23" s="143"/>
      <c r="X23" s="143"/>
    </row>
    <row r="24" spans="1:24" ht="15" customHeight="1">
      <c r="A24" s="143"/>
      <c r="B24" s="143"/>
      <c r="C24" s="27" t="s">
        <v>103</v>
      </c>
      <c r="D24" s="211">
        <f>D25</f>
        <v>50000</v>
      </c>
      <c r="E24" s="212">
        <f aca="true" t="shared" si="16" ref="E24:F24">E25</f>
        <v>0</v>
      </c>
      <c r="F24" s="213">
        <f t="shared" si="16"/>
        <v>0</v>
      </c>
      <c r="G24" s="269">
        <f aca="true" t="shared" si="17" ref="G24">G25</f>
        <v>0</v>
      </c>
      <c r="H24" s="270">
        <f aca="true" t="shared" si="18" ref="H24:I24">H25</f>
        <v>0</v>
      </c>
      <c r="I24" s="271">
        <f t="shared" si="18"/>
        <v>0</v>
      </c>
      <c r="J24" s="272">
        <f aca="true" t="shared" si="19" ref="J24">J25</f>
        <v>0</v>
      </c>
      <c r="K24" s="212">
        <f aca="true" t="shared" si="20" ref="K24:L24">K25</f>
        <v>0</v>
      </c>
      <c r="L24" s="213">
        <f t="shared" si="20"/>
        <v>0</v>
      </c>
      <c r="M24" s="259">
        <f t="shared" si="1"/>
        <v>50000</v>
      </c>
      <c r="N24" s="260">
        <f t="shared" si="0"/>
        <v>0</v>
      </c>
      <c r="O24" s="15">
        <f t="shared" si="0"/>
        <v>0</v>
      </c>
      <c r="P24" s="143"/>
      <c r="Q24" s="143"/>
      <c r="R24" s="143"/>
      <c r="S24" s="143"/>
      <c r="T24" s="143"/>
      <c r="U24" s="143"/>
      <c r="V24" s="143"/>
      <c r="W24" s="143"/>
      <c r="X24" s="143"/>
    </row>
    <row r="25" spans="1:24" s="285" customFormat="1" ht="15" customHeight="1" thickBot="1">
      <c r="A25" s="284"/>
      <c r="B25" s="284"/>
      <c r="C25" s="286" t="s">
        <v>43</v>
      </c>
      <c r="D25" s="287">
        <f>'16. melléklet'!B19</f>
        <v>50000</v>
      </c>
      <c r="E25" s="288">
        <f>'16. melléklet'!C19</f>
        <v>0</v>
      </c>
      <c r="F25" s="289">
        <f>'16. melléklet'!D19</f>
        <v>0</v>
      </c>
      <c r="G25" s="290"/>
      <c r="H25" s="291"/>
      <c r="I25" s="292"/>
      <c r="J25" s="293"/>
      <c r="K25" s="288"/>
      <c r="L25" s="289"/>
      <c r="M25" s="793">
        <f t="shared" si="1"/>
        <v>50000</v>
      </c>
      <c r="N25" s="794">
        <f t="shared" si="0"/>
        <v>0</v>
      </c>
      <c r="O25" s="795">
        <f t="shared" si="0"/>
        <v>0</v>
      </c>
      <c r="P25" s="284"/>
      <c r="Q25" s="284"/>
      <c r="R25" s="284"/>
      <c r="S25" s="284"/>
      <c r="T25" s="284"/>
      <c r="U25" s="284"/>
      <c r="V25" s="284"/>
      <c r="W25" s="284"/>
      <c r="X25" s="284"/>
    </row>
    <row r="26" spans="3:24" s="214" customFormat="1" ht="15" customHeight="1" thickBot="1">
      <c r="C26" s="215" t="s">
        <v>55</v>
      </c>
      <c r="D26" s="216">
        <f>D6+D7+D8+D9+D10+D19+D20+D21</f>
        <v>5147848</v>
      </c>
      <c r="E26" s="217">
        <f aca="true" t="shared" si="21" ref="E26">E6+E7+E8+E9+E10+E19+E20+E21</f>
        <v>7316765</v>
      </c>
      <c r="F26" s="218">
        <f aca="true" t="shared" si="22" ref="F26:L26">F6+F7+F8+F9+F10+F19+F20+F21</f>
        <v>6934314</v>
      </c>
      <c r="G26" s="219">
        <f t="shared" si="22"/>
        <v>820325</v>
      </c>
      <c r="H26" s="220">
        <f aca="true" t="shared" si="23" ref="H26">H6+H7+H8+H9+H10+H19+H20+H21</f>
        <v>957983</v>
      </c>
      <c r="I26" s="221">
        <f t="shared" si="22"/>
        <v>793232</v>
      </c>
      <c r="J26" s="222">
        <f t="shared" si="22"/>
        <v>1424051</v>
      </c>
      <c r="K26" s="217">
        <f aca="true" t="shared" si="24" ref="K26">K6+K7+K8+K9+K10+K19+K20+K21</f>
        <v>1769391</v>
      </c>
      <c r="L26" s="218">
        <f t="shared" si="22"/>
        <v>1750891</v>
      </c>
      <c r="M26" s="223">
        <f t="shared" si="1"/>
        <v>7392224</v>
      </c>
      <c r="N26" s="218">
        <f t="shared" si="0"/>
        <v>10044139</v>
      </c>
      <c r="O26" s="38">
        <f t="shared" si="0"/>
        <v>9478437</v>
      </c>
      <c r="P26" s="224"/>
      <c r="Q26" s="224"/>
      <c r="R26" s="224"/>
      <c r="S26" s="224"/>
      <c r="T26" s="224"/>
      <c r="U26" s="224"/>
      <c r="V26" s="224"/>
      <c r="W26" s="224"/>
      <c r="X26" s="224"/>
    </row>
    <row r="27" spans="3:24" s="214" customFormat="1" ht="15" customHeight="1">
      <c r="C27" s="13" t="s">
        <v>46</v>
      </c>
      <c r="D27" s="243">
        <v>151067</v>
      </c>
      <c r="E27" s="244">
        <v>151067</v>
      </c>
      <c r="F27" s="245">
        <v>107067</v>
      </c>
      <c r="G27" s="246"/>
      <c r="H27" s="247"/>
      <c r="I27" s="248"/>
      <c r="J27" s="249"/>
      <c r="K27" s="244"/>
      <c r="L27" s="245"/>
      <c r="M27" s="250">
        <f t="shared" si="1"/>
        <v>151067</v>
      </c>
      <c r="N27" s="251">
        <f t="shared" si="0"/>
        <v>151067</v>
      </c>
      <c r="O27" s="10">
        <f t="shared" si="0"/>
        <v>107067</v>
      </c>
      <c r="P27" s="224"/>
      <c r="Q27" s="224"/>
      <c r="R27" s="224"/>
      <c r="S27" s="224"/>
      <c r="T27" s="224"/>
      <c r="U27" s="224"/>
      <c r="V27" s="224"/>
      <c r="W27" s="224"/>
      <c r="X27" s="224"/>
    </row>
    <row r="28" spans="3:24" s="214" customFormat="1" ht="15" customHeight="1">
      <c r="C28" s="22" t="s">
        <v>97</v>
      </c>
      <c r="D28" s="252">
        <v>0</v>
      </c>
      <c r="E28" s="253">
        <v>1500000</v>
      </c>
      <c r="F28" s="254">
        <v>747000</v>
      </c>
      <c r="G28" s="255"/>
      <c r="H28" s="256"/>
      <c r="I28" s="257"/>
      <c r="J28" s="258"/>
      <c r="K28" s="253"/>
      <c r="L28" s="254"/>
      <c r="M28" s="259">
        <f t="shared" si="1"/>
        <v>0</v>
      </c>
      <c r="N28" s="260">
        <f t="shared" si="0"/>
        <v>1500000</v>
      </c>
      <c r="O28" s="15">
        <f t="shared" si="0"/>
        <v>747000</v>
      </c>
      <c r="P28" s="224"/>
      <c r="Q28" s="224"/>
      <c r="R28" s="224"/>
      <c r="S28" s="224"/>
      <c r="T28" s="224"/>
      <c r="U28" s="224"/>
      <c r="V28" s="224"/>
      <c r="W28" s="224"/>
      <c r="X28" s="224"/>
    </row>
    <row r="29" spans="3:24" s="214" customFormat="1" ht="15" customHeight="1">
      <c r="C29" s="22" t="s">
        <v>108</v>
      </c>
      <c r="D29" s="252">
        <v>35000</v>
      </c>
      <c r="E29" s="253">
        <v>43436</v>
      </c>
      <c r="F29" s="254">
        <v>43436</v>
      </c>
      <c r="G29" s="255"/>
      <c r="H29" s="256"/>
      <c r="I29" s="257"/>
      <c r="J29" s="258"/>
      <c r="K29" s="253"/>
      <c r="L29" s="254"/>
      <c r="M29" s="259">
        <f t="shared" si="1"/>
        <v>35000</v>
      </c>
      <c r="N29" s="260">
        <f t="shared" si="0"/>
        <v>43436</v>
      </c>
      <c r="O29" s="15">
        <f t="shared" si="0"/>
        <v>43436</v>
      </c>
      <c r="P29" s="224"/>
      <c r="Q29" s="224"/>
      <c r="R29" s="224"/>
      <c r="S29" s="224"/>
      <c r="T29" s="224"/>
      <c r="U29" s="224"/>
      <c r="V29" s="224"/>
      <c r="W29" s="224"/>
      <c r="X29" s="224"/>
    </row>
    <row r="30" spans="3:15" s="224" customFormat="1" ht="15" customHeight="1" thickBot="1">
      <c r="C30" s="294" t="s">
        <v>109</v>
      </c>
      <c r="D30" s="225">
        <v>1943975</v>
      </c>
      <c r="E30" s="226">
        <v>2001225</v>
      </c>
      <c r="F30" s="132">
        <v>1797598</v>
      </c>
      <c r="G30" s="785"/>
      <c r="H30" s="786"/>
      <c r="I30" s="787"/>
      <c r="J30" s="788"/>
      <c r="K30" s="130"/>
      <c r="L30" s="789"/>
      <c r="M30" s="225">
        <f t="shared" si="1"/>
        <v>1943975</v>
      </c>
      <c r="N30" s="226">
        <f t="shared" si="0"/>
        <v>2001225</v>
      </c>
      <c r="O30" s="133">
        <f t="shared" si="0"/>
        <v>1797598</v>
      </c>
    </row>
    <row r="31" spans="3:15" s="224" customFormat="1" ht="15" customHeight="1" thickBot="1">
      <c r="C31" s="215" t="s">
        <v>56</v>
      </c>
      <c r="D31" s="227">
        <f>SUM(D27:D30)</f>
        <v>2130042</v>
      </c>
      <c r="E31" s="228">
        <f aca="true" t="shared" si="25" ref="E31">SUM(E27:E30)</f>
        <v>3695728</v>
      </c>
      <c r="F31" s="40">
        <f aca="true" t="shared" si="26" ref="F31:L31">SUM(F27:F30)</f>
        <v>2695101</v>
      </c>
      <c r="G31" s="229">
        <f t="shared" si="26"/>
        <v>0</v>
      </c>
      <c r="H31" s="230">
        <f aca="true" t="shared" si="27" ref="H31">SUM(H27:H30)</f>
        <v>0</v>
      </c>
      <c r="I31" s="231">
        <f t="shared" si="26"/>
        <v>0</v>
      </c>
      <c r="J31" s="39">
        <f t="shared" si="26"/>
        <v>0</v>
      </c>
      <c r="K31" s="228">
        <f aca="true" t="shared" si="28" ref="K31">SUM(K27:K30)</f>
        <v>0</v>
      </c>
      <c r="L31" s="40">
        <f t="shared" si="26"/>
        <v>0</v>
      </c>
      <c r="M31" s="227">
        <f t="shared" si="1"/>
        <v>2130042</v>
      </c>
      <c r="N31" s="228">
        <f t="shared" si="0"/>
        <v>3695728</v>
      </c>
      <c r="O31" s="38">
        <f t="shared" si="0"/>
        <v>2695101</v>
      </c>
    </row>
    <row r="32" spans="3:24" s="214" customFormat="1" ht="15" customHeight="1" thickBot="1">
      <c r="C32" s="295" t="s">
        <v>52</v>
      </c>
      <c r="D32" s="296">
        <f>D26+D31</f>
        <v>7277890</v>
      </c>
      <c r="E32" s="297">
        <f aca="true" t="shared" si="29" ref="E32">E26+E31</f>
        <v>11012493</v>
      </c>
      <c r="F32" s="298">
        <f aca="true" t="shared" si="30" ref="F32:L32">F26+F31</f>
        <v>9629415</v>
      </c>
      <c r="G32" s="299">
        <f t="shared" si="30"/>
        <v>820325</v>
      </c>
      <c r="H32" s="300">
        <f aca="true" t="shared" si="31" ref="H32">H26+H31</f>
        <v>957983</v>
      </c>
      <c r="I32" s="301">
        <f t="shared" si="30"/>
        <v>793232</v>
      </c>
      <c r="J32" s="302">
        <f t="shared" si="30"/>
        <v>1424051</v>
      </c>
      <c r="K32" s="297">
        <f aca="true" t="shared" si="32" ref="K32">K26+K31</f>
        <v>1769391</v>
      </c>
      <c r="L32" s="298">
        <f t="shared" si="30"/>
        <v>1750891</v>
      </c>
      <c r="M32" s="303">
        <f t="shared" si="1"/>
        <v>9522266</v>
      </c>
      <c r="N32" s="298">
        <f t="shared" si="0"/>
        <v>13739867</v>
      </c>
      <c r="O32" s="304">
        <f t="shared" si="0"/>
        <v>12173538</v>
      </c>
      <c r="P32" s="224"/>
      <c r="Q32" s="224"/>
      <c r="R32" s="224"/>
      <c r="S32" s="224"/>
      <c r="T32" s="224"/>
      <c r="U32" s="224"/>
      <c r="V32" s="224"/>
      <c r="W32" s="224"/>
      <c r="X32" s="224"/>
    </row>
    <row r="34" spans="4:6" ht="15">
      <c r="D34" s="4"/>
      <c r="E34" s="4"/>
      <c r="F34" s="4"/>
    </row>
    <row r="38" ht="15">
      <c r="C38" s="1423" t="s">
        <v>995</v>
      </c>
    </row>
    <row r="39" ht="15">
      <c r="C39" s="1423" t="s">
        <v>996</v>
      </c>
    </row>
    <row r="40" ht="15">
      <c r="C40" s="1423" t="s">
        <v>997</v>
      </c>
    </row>
    <row r="41" ht="15">
      <c r="C41" s="1423" t="s">
        <v>998</v>
      </c>
    </row>
    <row r="42" ht="15">
      <c r="C42" s="1423" t="s">
        <v>999</v>
      </c>
    </row>
  </sheetData>
  <mergeCells count="7">
    <mergeCell ref="C1:O1"/>
    <mergeCell ref="C2:O2"/>
    <mergeCell ref="C4:C5"/>
    <mergeCell ref="D4:F4"/>
    <mergeCell ref="G4:I4"/>
    <mergeCell ref="J4:L4"/>
    <mergeCell ref="M4:O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&amp;L&amp;"Times New Roman,Normál"&amp;10 4. melléklet 1,2,3,4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view="pageLayout" workbookViewId="0" topLeftCell="A157">
      <selection activeCell="A168" sqref="A168:C172"/>
    </sheetView>
  </sheetViews>
  <sheetFormatPr defaultColWidth="9.140625" defaultRowHeight="15"/>
  <cols>
    <col min="1" max="1" width="13.8515625" style="305" bestFit="1" customWidth="1"/>
    <col min="2" max="2" width="7.57421875" style="305" bestFit="1" customWidth="1"/>
    <col min="3" max="3" width="95.57421875" style="305" customWidth="1"/>
    <col min="4" max="4" width="14.421875" style="305" bestFit="1" customWidth="1"/>
    <col min="5" max="6" width="11.28125" style="305" customWidth="1"/>
    <col min="7" max="7" width="10.28125" style="305" bestFit="1" customWidth="1"/>
    <col min="8" max="8" width="11.140625" style="305" bestFit="1" customWidth="1"/>
    <col min="9" max="9" width="10.140625" style="305" bestFit="1" customWidth="1"/>
    <col min="10" max="10" width="11.57421875" style="305" customWidth="1"/>
    <col min="11" max="11" width="10.00390625" style="305" bestFit="1" customWidth="1"/>
    <col min="12" max="13" width="10.7109375" style="305" bestFit="1" customWidth="1"/>
    <col min="14" max="14" width="10.140625" style="305" bestFit="1" customWidth="1"/>
    <col min="15" max="15" width="10.421875" style="305" bestFit="1" customWidth="1"/>
    <col min="16" max="16" width="10.28125" style="305" bestFit="1" customWidth="1"/>
    <col min="17" max="17" width="10.140625" style="305" bestFit="1" customWidth="1"/>
    <col min="18" max="18" width="14.28125" style="305" bestFit="1" customWidth="1"/>
    <col min="19" max="19" width="9.28125" style="305" customWidth="1"/>
    <col min="20" max="16384" width="9.140625" style="305" customWidth="1"/>
  </cols>
  <sheetData>
    <row r="1" spans="1:19" ht="15" customHeight="1">
      <c r="A1" s="1451" t="s">
        <v>229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  <c r="M1" s="1451"/>
      <c r="N1" s="1451"/>
      <c r="O1" s="1451"/>
      <c r="P1" s="1451"/>
      <c r="Q1" s="1451"/>
      <c r="R1" s="1451"/>
      <c r="S1" s="1451"/>
    </row>
    <row r="2" spans="1:19" ht="15.75" thickBot="1">
      <c r="A2" s="1452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</row>
    <row r="3" spans="1:19" ht="15.75" thickTop="1">
      <c r="A3" s="1453" t="s">
        <v>3</v>
      </c>
      <c r="B3" s="1454"/>
      <c r="C3" s="1454"/>
      <c r="D3" s="1455"/>
      <c r="E3" s="1459" t="s">
        <v>110</v>
      </c>
      <c r="F3" s="1459" t="s">
        <v>111</v>
      </c>
      <c r="G3" s="1461" t="s">
        <v>112</v>
      </c>
      <c r="H3" s="1454"/>
      <c r="I3" s="1454"/>
      <c r="J3" s="1454"/>
      <c r="K3" s="1454"/>
      <c r="L3" s="1454"/>
      <c r="M3" s="1454" t="s">
        <v>113</v>
      </c>
      <c r="N3" s="1454"/>
      <c r="O3" s="1454"/>
      <c r="P3" s="1454"/>
      <c r="Q3" s="1454" t="s">
        <v>62</v>
      </c>
      <c r="R3" s="1454"/>
      <c r="S3" s="1462" t="s">
        <v>210</v>
      </c>
    </row>
    <row r="4" spans="1:19" ht="57.75" thickBot="1">
      <c r="A4" s="1456"/>
      <c r="B4" s="1457"/>
      <c r="C4" s="1457"/>
      <c r="D4" s="1458"/>
      <c r="E4" s="1460"/>
      <c r="F4" s="1460"/>
      <c r="G4" s="819" t="s">
        <v>790</v>
      </c>
      <c r="H4" s="820" t="s">
        <v>202</v>
      </c>
      <c r="I4" s="820" t="s">
        <v>203</v>
      </c>
      <c r="J4" s="820" t="s">
        <v>204</v>
      </c>
      <c r="K4" s="820" t="s">
        <v>205</v>
      </c>
      <c r="L4" s="820" t="s">
        <v>24</v>
      </c>
      <c r="M4" s="821" t="s">
        <v>64</v>
      </c>
      <c r="N4" s="821" t="s">
        <v>65</v>
      </c>
      <c r="O4" s="820" t="s">
        <v>206</v>
      </c>
      <c r="P4" s="822" t="s">
        <v>207</v>
      </c>
      <c r="Q4" s="822" t="s">
        <v>208</v>
      </c>
      <c r="R4" s="820" t="s">
        <v>209</v>
      </c>
      <c r="S4" s="1463"/>
    </row>
    <row r="5" spans="1:19" ht="15.75" thickTop="1">
      <c r="A5" s="1474" t="s">
        <v>115</v>
      </c>
      <c r="B5" s="1475" t="s">
        <v>116</v>
      </c>
      <c r="C5" s="1487" t="s">
        <v>791</v>
      </c>
      <c r="D5" s="823" t="s">
        <v>4</v>
      </c>
      <c r="E5" s="824">
        <v>1653800</v>
      </c>
      <c r="F5" s="824">
        <f>SUM(G5:S5)</f>
        <v>9000</v>
      </c>
      <c r="G5" s="825">
        <v>1446</v>
      </c>
      <c r="H5" s="826">
        <v>619</v>
      </c>
      <c r="I5" s="826">
        <v>4775</v>
      </c>
      <c r="J5" s="826"/>
      <c r="K5" s="826"/>
      <c r="L5" s="826"/>
      <c r="M5" s="826">
        <v>2160</v>
      </c>
      <c r="N5" s="826"/>
      <c r="O5" s="826"/>
      <c r="P5" s="826"/>
      <c r="Q5" s="826"/>
      <c r="R5" s="827"/>
      <c r="S5" s="828"/>
    </row>
    <row r="6" spans="1:19" ht="15">
      <c r="A6" s="1465"/>
      <c r="B6" s="1468"/>
      <c r="C6" s="1483"/>
      <c r="D6" s="814" t="s">
        <v>892</v>
      </c>
      <c r="E6" s="815">
        <f>1592297</f>
        <v>1592297</v>
      </c>
      <c r="F6" s="815">
        <f aca="true" t="shared" si="0" ref="F6">SUM(G6:S6)</f>
        <v>0</v>
      </c>
      <c r="G6" s="816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8"/>
      <c r="S6" s="829"/>
    </row>
    <row r="7" spans="1:19" ht="15.75" thickBot="1">
      <c r="A7" s="1471"/>
      <c r="B7" s="1473"/>
      <c r="C7" s="1484"/>
      <c r="D7" s="814" t="s">
        <v>940</v>
      </c>
      <c r="E7" s="815">
        <v>1592297</v>
      </c>
      <c r="F7" s="815">
        <f aca="true" t="shared" si="1" ref="F7:F40">SUM(G7:S7)</f>
        <v>0</v>
      </c>
      <c r="G7" s="816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818"/>
      <c r="S7" s="829"/>
    </row>
    <row r="8" spans="1:19" ht="15" customHeight="1">
      <c r="A8" s="1464" t="s">
        <v>115</v>
      </c>
      <c r="B8" s="1467" t="s">
        <v>116</v>
      </c>
      <c r="C8" s="1485" t="s">
        <v>117</v>
      </c>
      <c r="D8" s="866" t="s">
        <v>4</v>
      </c>
      <c r="E8" s="308">
        <v>17096</v>
      </c>
      <c r="F8" s="308">
        <f t="shared" si="1"/>
        <v>805618</v>
      </c>
      <c r="G8" s="867">
        <v>71941</v>
      </c>
      <c r="H8" s="868">
        <v>15769</v>
      </c>
      <c r="I8" s="868">
        <v>642408</v>
      </c>
      <c r="J8" s="868"/>
      <c r="K8" s="868"/>
      <c r="L8" s="868"/>
      <c r="M8" s="868">
        <v>70500</v>
      </c>
      <c r="N8" s="868">
        <v>5000</v>
      </c>
      <c r="O8" s="868"/>
      <c r="P8" s="868"/>
      <c r="Q8" s="868"/>
      <c r="R8" s="869"/>
      <c r="S8" s="870"/>
    </row>
    <row r="9" spans="1:19" ht="15">
      <c r="A9" s="1465"/>
      <c r="B9" s="1468"/>
      <c r="C9" s="1483"/>
      <c r="D9" s="814" t="s">
        <v>892</v>
      </c>
      <c r="E9" s="782">
        <v>18883</v>
      </c>
      <c r="F9" s="815">
        <f aca="true" t="shared" si="2" ref="F9:F10">SUM(G9:S9)</f>
        <v>613144</v>
      </c>
      <c r="G9" s="779">
        <v>71263</v>
      </c>
      <c r="H9" s="833">
        <v>15640</v>
      </c>
      <c r="I9" s="833">
        <v>517679</v>
      </c>
      <c r="J9" s="833"/>
      <c r="K9" s="833"/>
      <c r="L9" s="833"/>
      <c r="M9" s="833">
        <v>3562</v>
      </c>
      <c r="N9" s="833">
        <v>5000</v>
      </c>
      <c r="O9" s="833"/>
      <c r="P9" s="833"/>
      <c r="Q9" s="833"/>
      <c r="R9" s="831"/>
      <c r="S9" s="832"/>
    </row>
    <row r="10" spans="1:19" ht="15.75" thickBot="1">
      <c r="A10" s="1466"/>
      <c r="B10" s="1469"/>
      <c r="C10" s="1486"/>
      <c r="D10" s="1066" t="s">
        <v>940</v>
      </c>
      <c r="E10" s="306">
        <v>19392</v>
      </c>
      <c r="F10" s="815">
        <f t="shared" si="2"/>
        <v>173996</v>
      </c>
      <c r="G10" s="872">
        <v>71263</v>
      </c>
      <c r="H10" s="873">
        <v>15640</v>
      </c>
      <c r="I10" s="873">
        <v>78917</v>
      </c>
      <c r="J10" s="873"/>
      <c r="K10" s="873"/>
      <c r="L10" s="873"/>
      <c r="M10" s="873">
        <v>3884</v>
      </c>
      <c r="N10" s="873">
        <v>4292</v>
      </c>
      <c r="O10" s="873"/>
      <c r="P10" s="873"/>
      <c r="Q10" s="873"/>
      <c r="R10" s="874"/>
      <c r="S10" s="875"/>
    </row>
    <row r="11" spans="1:19" ht="15" customHeight="1">
      <c r="A11" s="1470" t="s">
        <v>118</v>
      </c>
      <c r="B11" s="1472" t="s">
        <v>119</v>
      </c>
      <c r="C11" s="1482" t="s">
        <v>120</v>
      </c>
      <c r="D11" s="814" t="s">
        <v>4</v>
      </c>
      <c r="E11" s="782">
        <v>0</v>
      </c>
      <c r="F11" s="815">
        <f t="shared" si="1"/>
        <v>3750</v>
      </c>
      <c r="G11" s="779"/>
      <c r="H11" s="833"/>
      <c r="I11" s="833">
        <v>3750</v>
      </c>
      <c r="J11" s="833"/>
      <c r="K11" s="830"/>
      <c r="L11" s="833"/>
      <c r="M11" s="833"/>
      <c r="N11" s="833"/>
      <c r="O11" s="833"/>
      <c r="P11" s="833"/>
      <c r="Q11" s="833"/>
      <c r="R11" s="831"/>
      <c r="S11" s="832"/>
    </row>
    <row r="12" spans="1:19" ht="15">
      <c r="A12" s="1465"/>
      <c r="B12" s="1468"/>
      <c r="C12" s="1483"/>
      <c r="D12" s="814" t="s">
        <v>892</v>
      </c>
      <c r="E12" s="782">
        <v>0</v>
      </c>
      <c r="F12" s="815">
        <f aca="true" t="shared" si="3" ref="F12">SUM(G12:S12)</f>
        <v>3750</v>
      </c>
      <c r="G12" s="779"/>
      <c r="H12" s="833"/>
      <c r="I12" s="833">
        <v>3750</v>
      </c>
      <c r="J12" s="833"/>
      <c r="K12" s="830"/>
      <c r="L12" s="833"/>
      <c r="M12" s="833"/>
      <c r="N12" s="833"/>
      <c r="O12" s="833"/>
      <c r="P12" s="833"/>
      <c r="Q12" s="833"/>
      <c r="R12" s="831"/>
      <c r="S12" s="832"/>
    </row>
    <row r="13" spans="1:19" ht="15.75" thickBot="1">
      <c r="A13" s="1471"/>
      <c r="B13" s="1473"/>
      <c r="C13" s="1484"/>
      <c r="D13" s="814" t="s">
        <v>940</v>
      </c>
      <c r="E13" s="782">
        <v>0</v>
      </c>
      <c r="F13" s="815">
        <f t="shared" si="1"/>
        <v>3750</v>
      </c>
      <c r="G13" s="779"/>
      <c r="H13" s="833"/>
      <c r="I13" s="833">
        <v>3750</v>
      </c>
      <c r="J13" s="833"/>
      <c r="K13" s="830"/>
      <c r="L13" s="833"/>
      <c r="M13" s="833"/>
      <c r="N13" s="833"/>
      <c r="O13" s="833"/>
      <c r="P13" s="833"/>
      <c r="Q13" s="833"/>
      <c r="R13" s="831"/>
      <c r="S13" s="832"/>
    </row>
    <row r="14" spans="1:19" ht="15">
      <c r="A14" s="1464" t="s">
        <v>121</v>
      </c>
      <c r="B14" s="1467" t="s">
        <v>122</v>
      </c>
      <c r="C14" s="1485" t="s">
        <v>123</v>
      </c>
      <c r="D14" s="866" t="s">
        <v>4</v>
      </c>
      <c r="E14" s="308">
        <v>8500</v>
      </c>
      <c r="F14" s="308">
        <f t="shared" si="1"/>
        <v>17500</v>
      </c>
      <c r="G14" s="867"/>
      <c r="H14" s="868"/>
      <c r="I14" s="868">
        <v>17500</v>
      </c>
      <c r="J14" s="868"/>
      <c r="K14" s="868"/>
      <c r="L14" s="868"/>
      <c r="M14" s="868"/>
      <c r="N14" s="868"/>
      <c r="O14" s="868"/>
      <c r="P14" s="868"/>
      <c r="Q14" s="868"/>
      <c r="R14" s="869"/>
      <c r="S14" s="870"/>
    </row>
    <row r="15" spans="1:19" ht="15">
      <c r="A15" s="1465"/>
      <c r="B15" s="1468"/>
      <c r="C15" s="1483"/>
      <c r="D15" s="814" t="s">
        <v>892</v>
      </c>
      <c r="E15" s="782">
        <v>8585</v>
      </c>
      <c r="F15" s="815">
        <f t="shared" si="1"/>
        <v>17500</v>
      </c>
      <c r="G15" s="779"/>
      <c r="H15" s="833"/>
      <c r="I15" s="833">
        <v>17500</v>
      </c>
      <c r="J15" s="833"/>
      <c r="K15" s="833"/>
      <c r="L15" s="833"/>
      <c r="M15" s="833"/>
      <c r="N15" s="833"/>
      <c r="O15" s="833"/>
      <c r="P15" s="833"/>
      <c r="Q15" s="833"/>
      <c r="R15" s="831"/>
      <c r="S15" s="832"/>
    </row>
    <row r="16" spans="1:19" ht="15.75" thickBot="1">
      <c r="A16" s="1466"/>
      <c r="B16" s="1469"/>
      <c r="C16" s="1486"/>
      <c r="D16" s="1066" t="s">
        <v>940</v>
      </c>
      <c r="E16" s="306">
        <v>8585</v>
      </c>
      <c r="F16" s="871">
        <f aca="true" t="shared" si="4" ref="F16">SUM(G16:S16)</f>
        <v>17912</v>
      </c>
      <c r="G16" s="872"/>
      <c r="H16" s="873"/>
      <c r="I16" s="873">
        <v>17500</v>
      </c>
      <c r="J16" s="873"/>
      <c r="K16" s="873"/>
      <c r="L16" s="873"/>
      <c r="M16" s="873">
        <v>412</v>
      </c>
      <c r="N16" s="873"/>
      <c r="O16" s="873"/>
      <c r="P16" s="873"/>
      <c r="Q16" s="873"/>
      <c r="R16" s="874"/>
      <c r="S16" s="875"/>
    </row>
    <row r="17" spans="1:19" ht="15">
      <c r="A17" s="1470" t="s">
        <v>121</v>
      </c>
      <c r="B17" s="1472" t="s">
        <v>124</v>
      </c>
      <c r="C17" s="1482" t="s">
        <v>125</v>
      </c>
      <c r="D17" s="814" t="s">
        <v>4</v>
      </c>
      <c r="E17" s="782">
        <v>2118260</v>
      </c>
      <c r="F17" s="815">
        <f t="shared" si="1"/>
        <v>388260</v>
      </c>
      <c r="G17" s="778">
        <v>2716</v>
      </c>
      <c r="H17" s="830">
        <v>1004</v>
      </c>
      <c r="I17" s="830">
        <v>100928</v>
      </c>
      <c r="J17" s="830">
        <v>40000</v>
      </c>
      <c r="K17" s="830"/>
      <c r="L17" s="830"/>
      <c r="M17" s="830">
        <v>226612</v>
      </c>
      <c r="N17" s="830">
        <v>17000</v>
      </c>
      <c r="O17" s="830"/>
      <c r="P17" s="830"/>
      <c r="Q17" s="830"/>
      <c r="R17" s="831"/>
      <c r="S17" s="832"/>
    </row>
    <row r="18" spans="1:19" ht="15">
      <c r="A18" s="1465"/>
      <c r="B18" s="1468"/>
      <c r="C18" s="1483"/>
      <c r="D18" s="814" t="s">
        <v>892</v>
      </c>
      <c r="E18" s="782">
        <v>2488687</v>
      </c>
      <c r="F18" s="815">
        <f aca="true" t="shared" si="5" ref="F18">SUM(G18:S18)</f>
        <v>871170</v>
      </c>
      <c r="G18" s="778">
        <v>6049</v>
      </c>
      <c r="H18" s="830">
        <v>1671</v>
      </c>
      <c r="I18" s="830">
        <v>124826</v>
      </c>
      <c r="J18" s="830">
        <v>40000</v>
      </c>
      <c r="K18" s="830"/>
      <c r="L18" s="830"/>
      <c r="M18" s="830">
        <v>690847</v>
      </c>
      <c r="N18" s="830">
        <v>7777</v>
      </c>
      <c r="O18" s="830"/>
      <c r="P18" s="830"/>
      <c r="Q18" s="830"/>
      <c r="R18" s="831"/>
      <c r="S18" s="832"/>
    </row>
    <row r="19" spans="1:19" ht="15.75" thickBot="1">
      <c r="A19" s="1471"/>
      <c r="B19" s="1473"/>
      <c r="C19" s="1484"/>
      <c r="D19" s="1066" t="s">
        <v>940</v>
      </c>
      <c r="E19" s="782">
        <v>1736979</v>
      </c>
      <c r="F19" s="815">
        <f t="shared" si="1"/>
        <v>886808</v>
      </c>
      <c r="G19" s="778">
        <v>6049</v>
      </c>
      <c r="H19" s="830">
        <v>1671</v>
      </c>
      <c r="I19" s="830">
        <v>124826</v>
      </c>
      <c r="J19" s="830">
        <v>40000</v>
      </c>
      <c r="K19" s="830"/>
      <c r="L19" s="830"/>
      <c r="M19" s="830">
        <v>692475</v>
      </c>
      <c r="N19" s="830">
        <v>21787</v>
      </c>
      <c r="O19" s="830"/>
      <c r="P19" s="830"/>
      <c r="Q19" s="830"/>
      <c r="R19" s="831"/>
      <c r="S19" s="832"/>
    </row>
    <row r="20" spans="1:19" ht="15">
      <c r="A20" s="1464" t="s">
        <v>121</v>
      </c>
      <c r="B20" s="1467" t="s">
        <v>212</v>
      </c>
      <c r="C20" s="1485" t="s">
        <v>126</v>
      </c>
      <c r="D20" s="866" t="s">
        <v>4</v>
      </c>
      <c r="E20" s="308">
        <v>0</v>
      </c>
      <c r="F20" s="308">
        <f t="shared" si="1"/>
        <v>0</v>
      </c>
      <c r="G20" s="867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9"/>
      <c r="S20" s="870"/>
    </row>
    <row r="21" spans="1:19" ht="15">
      <c r="A21" s="1465"/>
      <c r="B21" s="1468"/>
      <c r="C21" s="1483"/>
      <c r="D21" s="814" t="s">
        <v>892</v>
      </c>
      <c r="E21" s="782">
        <v>0</v>
      </c>
      <c r="F21" s="815">
        <f aca="true" t="shared" si="6" ref="F21">SUM(G21:S21)</f>
        <v>9000</v>
      </c>
      <c r="G21" s="779">
        <v>1446</v>
      </c>
      <c r="H21" s="833">
        <v>619</v>
      </c>
      <c r="I21" s="833">
        <v>4775</v>
      </c>
      <c r="J21" s="833"/>
      <c r="K21" s="833"/>
      <c r="L21" s="833"/>
      <c r="M21" s="833">
        <v>2160</v>
      </c>
      <c r="N21" s="833"/>
      <c r="O21" s="833"/>
      <c r="P21" s="833"/>
      <c r="Q21" s="833"/>
      <c r="R21" s="831"/>
      <c r="S21" s="832"/>
    </row>
    <row r="22" spans="1:19" ht="15.75" thickBot="1">
      <c r="A22" s="1466"/>
      <c r="B22" s="1469"/>
      <c r="C22" s="1486"/>
      <c r="D22" s="1066" t="s">
        <v>940</v>
      </c>
      <c r="E22" s="306">
        <v>0</v>
      </c>
      <c r="F22" s="871">
        <f t="shared" si="1"/>
        <v>9000</v>
      </c>
      <c r="G22" s="872">
        <v>1446</v>
      </c>
      <c r="H22" s="873">
        <v>619</v>
      </c>
      <c r="I22" s="873">
        <v>4775</v>
      </c>
      <c r="J22" s="873"/>
      <c r="K22" s="873"/>
      <c r="L22" s="873"/>
      <c r="M22" s="873">
        <v>2160</v>
      </c>
      <c r="N22" s="873"/>
      <c r="O22" s="873"/>
      <c r="P22" s="873"/>
      <c r="Q22" s="873"/>
      <c r="R22" s="874"/>
      <c r="S22" s="875"/>
    </row>
    <row r="23" spans="1:19" ht="15" customHeight="1">
      <c r="A23" s="1470" t="s">
        <v>118</v>
      </c>
      <c r="B23" s="1472" t="s">
        <v>127</v>
      </c>
      <c r="C23" s="1482" t="s">
        <v>128</v>
      </c>
      <c r="D23" s="814" t="s">
        <v>4</v>
      </c>
      <c r="E23" s="782">
        <v>0</v>
      </c>
      <c r="F23" s="815">
        <f t="shared" si="1"/>
        <v>2885</v>
      </c>
      <c r="G23" s="779">
        <v>2050</v>
      </c>
      <c r="H23" s="833">
        <v>835</v>
      </c>
      <c r="I23" s="833"/>
      <c r="J23" s="833"/>
      <c r="K23" s="830"/>
      <c r="L23" s="833"/>
      <c r="M23" s="833"/>
      <c r="N23" s="833"/>
      <c r="O23" s="833"/>
      <c r="P23" s="833"/>
      <c r="Q23" s="833"/>
      <c r="R23" s="831"/>
      <c r="S23" s="832"/>
    </row>
    <row r="24" spans="1:19" ht="15">
      <c r="A24" s="1465"/>
      <c r="B24" s="1468"/>
      <c r="C24" s="1483"/>
      <c r="D24" s="814" t="s">
        <v>892</v>
      </c>
      <c r="E24" s="782">
        <v>0</v>
      </c>
      <c r="F24" s="815">
        <f aca="true" t="shared" si="7" ref="F24">SUM(G24:S24)</f>
        <v>2885</v>
      </c>
      <c r="G24" s="779">
        <v>2050</v>
      </c>
      <c r="H24" s="833">
        <v>835</v>
      </c>
      <c r="I24" s="833"/>
      <c r="J24" s="833"/>
      <c r="K24" s="830"/>
      <c r="L24" s="833"/>
      <c r="M24" s="833"/>
      <c r="N24" s="833"/>
      <c r="O24" s="833"/>
      <c r="P24" s="833"/>
      <c r="Q24" s="833"/>
      <c r="R24" s="831"/>
      <c r="S24" s="832"/>
    </row>
    <row r="25" spans="1:19" ht="15.75" thickBot="1">
      <c r="A25" s="1471"/>
      <c r="B25" s="1473"/>
      <c r="C25" s="1484"/>
      <c r="D25" s="1066" t="s">
        <v>940</v>
      </c>
      <c r="E25" s="782">
        <v>0</v>
      </c>
      <c r="F25" s="815">
        <f t="shared" si="1"/>
        <v>1374</v>
      </c>
      <c r="G25" s="779">
        <v>1050</v>
      </c>
      <c r="H25" s="833">
        <v>235</v>
      </c>
      <c r="I25" s="833">
        <v>89</v>
      </c>
      <c r="J25" s="833"/>
      <c r="K25" s="830"/>
      <c r="L25" s="833"/>
      <c r="M25" s="833"/>
      <c r="N25" s="833"/>
      <c r="O25" s="833"/>
      <c r="P25" s="833"/>
      <c r="Q25" s="833"/>
      <c r="R25" s="831"/>
      <c r="S25" s="832"/>
    </row>
    <row r="26" spans="1:19" ht="15" customHeight="1">
      <c r="A26" s="1464" t="s">
        <v>118</v>
      </c>
      <c r="B26" s="1467" t="s">
        <v>127</v>
      </c>
      <c r="C26" s="1485" t="s">
        <v>129</v>
      </c>
      <c r="D26" s="866" t="s">
        <v>4</v>
      </c>
      <c r="E26" s="308">
        <v>1778</v>
      </c>
      <c r="F26" s="308">
        <f t="shared" si="1"/>
        <v>2101</v>
      </c>
      <c r="G26" s="867">
        <v>996</v>
      </c>
      <c r="H26" s="868">
        <v>405</v>
      </c>
      <c r="I26" s="868">
        <v>700</v>
      </c>
      <c r="J26" s="868"/>
      <c r="K26" s="868"/>
      <c r="L26" s="868"/>
      <c r="M26" s="868"/>
      <c r="N26" s="868"/>
      <c r="O26" s="868"/>
      <c r="P26" s="868"/>
      <c r="Q26" s="868"/>
      <c r="R26" s="869"/>
      <c r="S26" s="870"/>
    </row>
    <row r="27" spans="1:19" ht="15">
      <c r="A27" s="1465"/>
      <c r="B27" s="1468"/>
      <c r="C27" s="1483"/>
      <c r="D27" s="814" t="s">
        <v>892</v>
      </c>
      <c r="E27" s="782">
        <v>1778</v>
      </c>
      <c r="F27" s="815">
        <f aca="true" t="shared" si="8" ref="F27">SUM(G27:S27)</f>
        <v>2101</v>
      </c>
      <c r="G27" s="779">
        <v>1119</v>
      </c>
      <c r="H27" s="833">
        <v>456</v>
      </c>
      <c r="I27" s="833">
        <v>526</v>
      </c>
      <c r="J27" s="833"/>
      <c r="K27" s="833"/>
      <c r="L27" s="833"/>
      <c r="M27" s="833"/>
      <c r="N27" s="833"/>
      <c r="O27" s="833"/>
      <c r="P27" s="833"/>
      <c r="Q27" s="833"/>
      <c r="R27" s="831"/>
      <c r="S27" s="832"/>
    </row>
    <row r="28" spans="1:19" ht="15.75" thickBot="1">
      <c r="A28" s="1466"/>
      <c r="B28" s="1469"/>
      <c r="C28" s="1486"/>
      <c r="D28" s="1066" t="s">
        <v>940</v>
      </c>
      <c r="E28" s="306">
        <v>638</v>
      </c>
      <c r="F28" s="871">
        <f t="shared" si="1"/>
        <v>1601</v>
      </c>
      <c r="G28" s="872">
        <v>1135</v>
      </c>
      <c r="H28" s="873">
        <v>456</v>
      </c>
      <c r="I28" s="873">
        <v>10</v>
      </c>
      <c r="J28" s="873"/>
      <c r="K28" s="873"/>
      <c r="L28" s="873"/>
      <c r="M28" s="873"/>
      <c r="N28" s="873"/>
      <c r="O28" s="873"/>
      <c r="P28" s="873"/>
      <c r="Q28" s="873"/>
      <c r="R28" s="874"/>
      <c r="S28" s="875"/>
    </row>
    <row r="29" spans="1:19" ht="15" customHeight="1">
      <c r="A29" s="1470" t="s">
        <v>118</v>
      </c>
      <c r="B29" s="1472" t="s">
        <v>127</v>
      </c>
      <c r="C29" s="1482" t="s">
        <v>130</v>
      </c>
      <c r="D29" s="814" t="s">
        <v>4</v>
      </c>
      <c r="E29" s="782">
        <v>500</v>
      </c>
      <c r="F29" s="815">
        <f t="shared" si="1"/>
        <v>3366</v>
      </c>
      <c r="G29" s="779">
        <v>2250</v>
      </c>
      <c r="H29" s="833">
        <v>916</v>
      </c>
      <c r="I29" s="833">
        <v>200</v>
      </c>
      <c r="J29" s="833"/>
      <c r="K29" s="830"/>
      <c r="L29" s="833"/>
      <c r="M29" s="833"/>
      <c r="N29" s="833"/>
      <c r="O29" s="833"/>
      <c r="P29" s="833"/>
      <c r="Q29" s="833"/>
      <c r="R29" s="831"/>
      <c r="S29" s="832"/>
    </row>
    <row r="30" spans="1:19" ht="15">
      <c r="A30" s="1465"/>
      <c r="B30" s="1468"/>
      <c r="C30" s="1483"/>
      <c r="D30" s="814" t="s">
        <v>892</v>
      </c>
      <c r="E30" s="782">
        <v>500</v>
      </c>
      <c r="F30" s="815">
        <f>SUM(G30:S30)</f>
        <v>5209</v>
      </c>
      <c r="G30" s="779">
        <v>2000</v>
      </c>
      <c r="H30" s="833">
        <v>916</v>
      </c>
      <c r="I30" s="833">
        <v>2293</v>
      </c>
      <c r="J30" s="833"/>
      <c r="K30" s="830"/>
      <c r="L30" s="833"/>
      <c r="M30" s="833"/>
      <c r="N30" s="833"/>
      <c r="O30" s="833"/>
      <c r="P30" s="833"/>
      <c r="Q30" s="833"/>
      <c r="R30" s="831"/>
      <c r="S30" s="832"/>
    </row>
    <row r="31" spans="1:19" ht="15.75" thickBot="1">
      <c r="A31" s="1471"/>
      <c r="B31" s="1473"/>
      <c r="C31" s="1484"/>
      <c r="D31" s="1066" t="s">
        <v>940</v>
      </c>
      <c r="E31" s="782">
        <v>500</v>
      </c>
      <c r="F31" s="815">
        <f>SUM(G31:S31)</f>
        <v>7071</v>
      </c>
      <c r="G31" s="779">
        <v>2450</v>
      </c>
      <c r="H31" s="833">
        <v>1102</v>
      </c>
      <c r="I31" s="833">
        <v>3519</v>
      </c>
      <c r="J31" s="833"/>
      <c r="K31" s="830"/>
      <c r="L31" s="833"/>
      <c r="M31" s="833"/>
      <c r="N31" s="833"/>
      <c r="O31" s="833"/>
      <c r="P31" s="833"/>
      <c r="Q31" s="833"/>
      <c r="R31" s="831"/>
      <c r="S31" s="832"/>
    </row>
    <row r="32" spans="1:19" ht="15" customHeight="1">
      <c r="A32" s="1464" t="s">
        <v>118</v>
      </c>
      <c r="B32" s="1467" t="s">
        <v>127</v>
      </c>
      <c r="C32" s="1485" t="s">
        <v>131</v>
      </c>
      <c r="D32" s="866" t="s">
        <v>4</v>
      </c>
      <c r="E32" s="308">
        <v>0</v>
      </c>
      <c r="F32" s="308">
        <f t="shared" si="1"/>
        <v>8658</v>
      </c>
      <c r="G32" s="867">
        <v>6650</v>
      </c>
      <c r="H32" s="868">
        <v>2008</v>
      </c>
      <c r="I32" s="868"/>
      <c r="J32" s="868"/>
      <c r="K32" s="868"/>
      <c r="L32" s="868"/>
      <c r="M32" s="868"/>
      <c r="N32" s="868"/>
      <c r="O32" s="868"/>
      <c r="P32" s="868"/>
      <c r="Q32" s="868"/>
      <c r="R32" s="869"/>
      <c r="S32" s="870"/>
    </row>
    <row r="33" spans="1:19" ht="15">
      <c r="A33" s="1465"/>
      <c r="B33" s="1468"/>
      <c r="C33" s="1483"/>
      <c r="D33" s="814" t="s">
        <v>892</v>
      </c>
      <c r="E33" s="782">
        <v>0</v>
      </c>
      <c r="F33" s="815">
        <f aca="true" t="shared" si="9" ref="F33">SUM(G33:S33)</f>
        <v>8534</v>
      </c>
      <c r="G33" s="779">
        <v>6481</v>
      </c>
      <c r="H33" s="833">
        <v>2008</v>
      </c>
      <c r="I33" s="833">
        <v>45</v>
      </c>
      <c r="J33" s="833"/>
      <c r="K33" s="833"/>
      <c r="L33" s="833"/>
      <c r="M33" s="833"/>
      <c r="N33" s="833"/>
      <c r="O33" s="833"/>
      <c r="P33" s="833"/>
      <c r="Q33" s="833"/>
      <c r="R33" s="831"/>
      <c r="S33" s="832"/>
    </row>
    <row r="34" spans="1:19" ht="15.75" thickBot="1">
      <c r="A34" s="1466"/>
      <c r="B34" s="1469"/>
      <c r="C34" s="1486"/>
      <c r="D34" s="1066" t="s">
        <v>940</v>
      </c>
      <c r="E34" s="306">
        <v>0</v>
      </c>
      <c r="F34" s="871">
        <f t="shared" si="1"/>
        <v>634</v>
      </c>
      <c r="G34" s="872">
        <v>481</v>
      </c>
      <c r="H34" s="873">
        <v>108</v>
      </c>
      <c r="I34" s="873">
        <v>45</v>
      </c>
      <c r="J34" s="873"/>
      <c r="K34" s="873"/>
      <c r="L34" s="873"/>
      <c r="M34" s="873"/>
      <c r="N34" s="873"/>
      <c r="O34" s="873"/>
      <c r="P34" s="873"/>
      <c r="Q34" s="873"/>
      <c r="R34" s="874"/>
      <c r="S34" s="875"/>
    </row>
    <row r="35" spans="1:19" ht="15" customHeight="1">
      <c r="A35" s="1465" t="s">
        <v>115</v>
      </c>
      <c r="B35" s="1472" t="s">
        <v>132</v>
      </c>
      <c r="C35" s="1482" t="s">
        <v>133</v>
      </c>
      <c r="D35" s="814" t="s">
        <v>4</v>
      </c>
      <c r="E35" s="782">
        <v>1178193</v>
      </c>
      <c r="F35" s="815">
        <f t="shared" si="1"/>
        <v>35000</v>
      </c>
      <c r="G35" s="778"/>
      <c r="H35" s="830"/>
      <c r="I35" s="830"/>
      <c r="J35" s="830"/>
      <c r="K35" s="830"/>
      <c r="L35" s="830"/>
      <c r="M35" s="830"/>
      <c r="N35" s="830"/>
      <c r="O35" s="830"/>
      <c r="P35" s="830"/>
      <c r="Q35" s="830">
        <v>35000</v>
      </c>
      <c r="R35" s="831"/>
      <c r="S35" s="832"/>
    </row>
    <row r="36" spans="1:19" ht="15">
      <c r="A36" s="1465"/>
      <c r="B36" s="1468"/>
      <c r="C36" s="1483"/>
      <c r="D36" s="814" t="s">
        <v>892</v>
      </c>
      <c r="E36" s="782">
        <v>1654428</v>
      </c>
      <c r="F36" s="815">
        <f aca="true" t="shared" si="10" ref="F36">SUM(G36:S36)</f>
        <v>43436</v>
      </c>
      <c r="G36" s="778"/>
      <c r="H36" s="830"/>
      <c r="I36" s="830"/>
      <c r="J36" s="830"/>
      <c r="K36" s="830"/>
      <c r="L36" s="830"/>
      <c r="M36" s="830"/>
      <c r="N36" s="830"/>
      <c r="O36" s="830"/>
      <c r="P36" s="830"/>
      <c r="Q36" s="830">
        <v>43436</v>
      </c>
      <c r="R36" s="831"/>
      <c r="S36" s="832"/>
    </row>
    <row r="37" spans="1:19" ht="15.75" thickBot="1">
      <c r="A37" s="1471"/>
      <c r="B37" s="1473"/>
      <c r="C37" s="1484"/>
      <c r="D37" s="1066" t="s">
        <v>940</v>
      </c>
      <c r="E37" s="782">
        <v>1662354</v>
      </c>
      <c r="F37" s="815">
        <f t="shared" si="1"/>
        <v>43436</v>
      </c>
      <c r="G37" s="778"/>
      <c r="H37" s="830"/>
      <c r="I37" s="830"/>
      <c r="J37" s="830"/>
      <c r="K37" s="830"/>
      <c r="L37" s="830"/>
      <c r="M37" s="830"/>
      <c r="N37" s="830"/>
      <c r="O37" s="830"/>
      <c r="P37" s="830"/>
      <c r="Q37" s="830">
        <v>43436</v>
      </c>
      <c r="R37" s="831"/>
      <c r="S37" s="832"/>
    </row>
    <row r="38" spans="1:19" ht="15" customHeight="1">
      <c r="A38" s="1464" t="s">
        <v>115</v>
      </c>
      <c r="B38" s="1467" t="s">
        <v>134</v>
      </c>
      <c r="C38" s="1485" t="s">
        <v>135</v>
      </c>
      <c r="D38" s="866" t="s">
        <v>4</v>
      </c>
      <c r="E38" s="308">
        <v>0</v>
      </c>
      <c r="F38" s="308">
        <f t="shared" si="1"/>
        <v>18000</v>
      </c>
      <c r="G38" s="867"/>
      <c r="H38" s="868"/>
      <c r="I38" s="868"/>
      <c r="J38" s="868">
        <v>18000</v>
      </c>
      <c r="K38" s="868"/>
      <c r="L38" s="868"/>
      <c r="M38" s="868"/>
      <c r="N38" s="868"/>
      <c r="O38" s="868"/>
      <c r="P38" s="868"/>
      <c r="Q38" s="868"/>
      <c r="R38" s="869"/>
      <c r="S38" s="870"/>
    </row>
    <row r="39" spans="1:19" ht="15">
      <c r="A39" s="1465"/>
      <c r="B39" s="1468"/>
      <c r="C39" s="1483"/>
      <c r="D39" s="814" t="s">
        <v>892</v>
      </c>
      <c r="E39" s="782">
        <v>0</v>
      </c>
      <c r="F39" s="815">
        <f aca="true" t="shared" si="11" ref="F39">SUM(G39:S39)</f>
        <v>18000</v>
      </c>
      <c r="G39" s="779"/>
      <c r="H39" s="833"/>
      <c r="I39" s="833"/>
      <c r="J39" s="833">
        <v>18000</v>
      </c>
      <c r="K39" s="833"/>
      <c r="L39" s="833"/>
      <c r="M39" s="833"/>
      <c r="N39" s="833"/>
      <c r="O39" s="833"/>
      <c r="P39" s="833"/>
      <c r="Q39" s="833"/>
      <c r="R39" s="831"/>
      <c r="S39" s="832"/>
    </row>
    <row r="40" spans="1:19" ht="15.75" thickBot="1">
      <c r="A40" s="1466"/>
      <c r="B40" s="1469"/>
      <c r="C40" s="1486"/>
      <c r="D40" s="1066" t="s">
        <v>940</v>
      </c>
      <c r="E40" s="306">
        <v>0</v>
      </c>
      <c r="F40" s="871">
        <f t="shared" si="1"/>
        <v>18000</v>
      </c>
      <c r="G40" s="872"/>
      <c r="H40" s="873"/>
      <c r="I40" s="873">
        <v>10</v>
      </c>
      <c r="J40" s="873">
        <v>17990</v>
      </c>
      <c r="K40" s="873"/>
      <c r="L40" s="873"/>
      <c r="M40" s="873"/>
      <c r="N40" s="873"/>
      <c r="O40" s="873"/>
      <c r="P40" s="873"/>
      <c r="Q40" s="873"/>
      <c r="R40" s="874"/>
      <c r="S40" s="875"/>
    </row>
    <row r="41" spans="1:19" ht="15" customHeight="1">
      <c r="A41" s="1470" t="s">
        <v>115</v>
      </c>
      <c r="B41" s="1472" t="s">
        <v>136</v>
      </c>
      <c r="C41" s="1482" t="s">
        <v>137</v>
      </c>
      <c r="D41" s="814" t="s">
        <v>4</v>
      </c>
      <c r="E41" s="782">
        <v>0</v>
      </c>
      <c r="F41" s="815">
        <f aca="true" t="shared" si="12" ref="F41:F67">SUM(G41:S41)</f>
        <v>2292755</v>
      </c>
      <c r="G41" s="779"/>
      <c r="H41" s="833"/>
      <c r="I41" s="833"/>
      <c r="J41" s="833">
        <v>348780</v>
      </c>
      <c r="K41" s="830"/>
      <c r="L41" s="833"/>
      <c r="M41" s="833"/>
      <c r="N41" s="833"/>
      <c r="O41" s="833"/>
      <c r="P41" s="833"/>
      <c r="Q41" s="833"/>
      <c r="R41" s="830">
        <v>1943975</v>
      </c>
      <c r="S41" s="832"/>
    </row>
    <row r="42" spans="1:19" ht="15">
      <c r="A42" s="1465"/>
      <c r="B42" s="1468"/>
      <c r="C42" s="1483"/>
      <c r="D42" s="814" t="s">
        <v>892</v>
      </c>
      <c r="E42" s="782">
        <v>2751</v>
      </c>
      <c r="F42" s="815">
        <f>SUM(G42:S42)</f>
        <v>2433300</v>
      </c>
      <c r="G42" s="779"/>
      <c r="H42" s="833"/>
      <c r="I42" s="833"/>
      <c r="J42" s="833">
        <v>432075</v>
      </c>
      <c r="K42" s="830"/>
      <c r="L42" s="833"/>
      <c r="M42" s="833"/>
      <c r="N42" s="833"/>
      <c r="O42" s="833"/>
      <c r="P42" s="833"/>
      <c r="Q42" s="833"/>
      <c r="R42" s="830">
        <v>2001225</v>
      </c>
      <c r="S42" s="832"/>
    </row>
    <row r="43" spans="1:19" ht="15.75" thickBot="1">
      <c r="A43" s="1471"/>
      <c r="B43" s="1473"/>
      <c r="C43" s="1484"/>
      <c r="D43" s="1066" t="s">
        <v>940</v>
      </c>
      <c r="E43" s="782">
        <v>2751</v>
      </c>
      <c r="F43" s="815">
        <f>SUM(G43:S43)</f>
        <v>2235949</v>
      </c>
      <c r="G43" s="779"/>
      <c r="H43" s="833"/>
      <c r="I43" s="833"/>
      <c r="J43" s="833">
        <v>438351</v>
      </c>
      <c r="K43" s="830"/>
      <c r="L43" s="833"/>
      <c r="M43" s="833"/>
      <c r="N43" s="833"/>
      <c r="O43" s="833"/>
      <c r="P43" s="833"/>
      <c r="Q43" s="833"/>
      <c r="R43" s="830">
        <v>1797598</v>
      </c>
      <c r="S43" s="832"/>
    </row>
    <row r="44" spans="1:19" ht="15">
      <c r="A44" s="1464" t="s">
        <v>121</v>
      </c>
      <c r="B44" s="1467" t="s">
        <v>138</v>
      </c>
      <c r="C44" s="1485" t="s">
        <v>139</v>
      </c>
      <c r="D44" s="866" t="s">
        <v>4</v>
      </c>
      <c r="E44" s="308">
        <v>0</v>
      </c>
      <c r="F44" s="308">
        <f t="shared" si="12"/>
        <v>2000</v>
      </c>
      <c r="G44" s="867"/>
      <c r="H44" s="868"/>
      <c r="I44" s="868"/>
      <c r="J44" s="868">
        <v>2000</v>
      </c>
      <c r="K44" s="868"/>
      <c r="L44" s="868"/>
      <c r="M44" s="868"/>
      <c r="N44" s="868"/>
      <c r="O44" s="868"/>
      <c r="P44" s="868"/>
      <c r="Q44" s="868"/>
      <c r="R44" s="869"/>
      <c r="S44" s="870"/>
    </row>
    <row r="45" spans="1:19" ht="15">
      <c r="A45" s="1465"/>
      <c r="B45" s="1468"/>
      <c r="C45" s="1483"/>
      <c r="D45" s="814" t="s">
        <v>892</v>
      </c>
      <c r="E45" s="782">
        <v>0</v>
      </c>
      <c r="F45" s="815">
        <f aca="true" t="shared" si="13" ref="F45">SUM(G45:S45)</f>
        <v>2000</v>
      </c>
      <c r="G45" s="779"/>
      <c r="H45" s="833"/>
      <c r="I45" s="833"/>
      <c r="J45" s="833">
        <v>2000</v>
      </c>
      <c r="K45" s="833"/>
      <c r="L45" s="833"/>
      <c r="M45" s="833"/>
      <c r="N45" s="833"/>
      <c r="O45" s="833"/>
      <c r="P45" s="833"/>
      <c r="Q45" s="833"/>
      <c r="R45" s="831"/>
      <c r="S45" s="832"/>
    </row>
    <row r="46" spans="1:19" ht="15.75" thickBot="1">
      <c r="A46" s="1466"/>
      <c r="B46" s="1469"/>
      <c r="C46" s="1486"/>
      <c r="D46" s="1066" t="s">
        <v>940</v>
      </c>
      <c r="E46" s="306">
        <v>0</v>
      </c>
      <c r="F46" s="871">
        <f t="shared" si="12"/>
        <v>2000</v>
      </c>
      <c r="G46" s="872"/>
      <c r="H46" s="873"/>
      <c r="I46" s="873"/>
      <c r="J46" s="873">
        <v>2000</v>
      </c>
      <c r="K46" s="873"/>
      <c r="L46" s="873"/>
      <c r="M46" s="873"/>
      <c r="N46" s="873"/>
      <c r="O46" s="873"/>
      <c r="P46" s="873"/>
      <c r="Q46" s="873"/>
      <c r="R46" s="874"/>
      <c r="S46" s="875"/>
    </row>
    <row r="47" spans="1:19" ht="15">
      <c r="A47" s="1470" t="s">
        <v>121</v>
      </c>
      <c r="B47" s="1472" t="s">
        <v>140</v>
      </c>
      <c r="C47" s="1482" t="s">
        <v>141</v>
      </c>
      <c r="D47" s="814" t="s">
        <v>4</v>
      </c>
      <c r="E47" s="782">
        <v>0</v>
      </c>
      <c r="F47" s="815">
        <f t="shared" si="12"/>
        <v>2050</v>
      </c>
      <c r="G47" s="779"/>
      <c r="H47" s="833"/>
      <c r="I47" s="833">
        <v>2050</v>
      </c>
      <c r="J47" s="833"/>
      <c r="K47" s="830"/>
      <c r="L47" s="833"/>
      <c r="M47" s="833"/>
      <c r="N47" s="833"/>
      <c r="O47" s="833"/>
      <c r="P47" s="833"/>
      <c r="Q47" s="833"/>
      <c r="R47" s="831"/>
      <c r="S47" s="832"/>
    </row>
    <row r="48" spans="1:19" ht="15">
      <c r="A48" s="1465"/>
      <c r="B48" s="1468"/>
      <c r="C48" s="1483"/>
      <c r="D48" s="814" t="s">
        <v>892</v>
      </c>
      <c r="E48" s="782">
        <v>0</v>
      </c>
      <c r="F48" s="815">
        <f aca="true" t="shared" si="14" ref="F48">SUM(G48:S48)</f>
        <v>2050</v>
      </c>
      <c r="G48" s="779"/>
      <c r="H48" s="833"/>
      <c r="I48" s="833">
        <v>2050</v>
      </c>
      <c r="J48" s="833"/>
      <c r="K48" s="830"/>
      <c r="L48" s="833"/>
      <c r="M48" s="833"/>
      <c r="N48" s="833"/>
      <c r="O48" s="833"/>
      <c r="P48" s="833"/>
      <c r="Q48" s="833"/>
      <c r="R48" s="831"/>
      <c r="S48" s="832"/>
    </row>
    <row r="49" spans="1:19" ht="15.75" thickBot="1">
      <c r="A49" s="1471"/>
      <c r="B49" s="1473"/>
      <c r="C49" s="1484"/>
      <c r="D49" s="1066" t="s">
        <v>940</v>
      </c>
      <c r="E49" s="782">
        <v>0</v>
      </c>
      <c r="F49" s="815">
        <f t="shared" si="12"/>
        <v>2050</v>
      </c>
      <c r="G49" s="779"/>
      <c r="H49" s="833"/>
      <c r="I49" s="833">
        <v>2050</v>
      </c>
      <c r="J49" s="833"/>
      <c r="K49" s="830"/>
      <c r="L49" s="833"/>
      <c r="M49" s="833"/>
      <c r="N49" s="833"/>
      <c r="O49" s="833"/>
      <c r="P49" s="833"/>
      <c r="Q49" s="833"/>
      <c r="R49" s="831"/>
      <c r="S49" s="832"/>
    </row>
    <row r="50" spans="1:19" ht="15">
      <c r="A50" s="1464" t="s">
        <v>121</v>
      </c>
      <c r="B50" s="1467" t="s">
        <v>142</v>
      </c>
      <c r="C50" s="1485" t="s">
        <v>143</v>
      </c>
      <c r="D50" s="866" t="s">
        <v>4</v>
      </c>
      <c r="E50" s="308">
        <v>104500</v>
      </c>
      <c r="F50" s="308">
        <f t="shared" si="12"/>
        <v>109874</v>
      </c>
      <c r="G50" s="867">
        <v>90500</v>
      </c>
      <c r="H50" s="868">
        <v>8824</v>
      </c>
      <c r="I50" s="868">
        <v>10550</v>
      </c>
      <c r="J50" s="868"/>
      <c r="K50" s="868"/>
      <c r="L50" s="868"/>
      <c r="M50" s="868"/>
      <c r="N50" s="868"/>
      <c r="O50" s="868"/>
      <c r="P50" s="868"/>
      <c r="Q50" s="868"/>
      <c r="R50" s="869"/>
      <c r="S50" s="870"/>
    </row>
    <row r="51" spans="1:19" ht="15">
      <c r="A51" s="1465"/>
      <c r="B51" s="1468"/>
      <c r="C51" s="1483"/>
      <c r="D51" s="814" t="s">
        <v>892</v>
      </c>
      <c r="E51" s="782">
        <v>104500</v>
      </c>
      <c r="F51" s="815">
        <f aca="true" t="shared" si="15" ref="F51">SUM(G51:S51)</f>
        <v>111023</v>
      </c>
      <c r="G51" s="779">
        <v>90500</v>
      </c>
      <c r="H51" s="833">
        <v>8824</v>
      </c>
      <c r="I51" s="833">
        <v>8270</v>
      </c>
      <c r="J51" s="833"/>
      <c r="K51" s="833"/>
      <c r="L51" s="833"/>
      <c r="M51" s="833">
        <v>3429</v>
      </c>
      <c r="N51" s="833"/>
      <c r="O51" s="833"/>
      <c r="P51" s="833"/>
      <c r="Q51" s="833"/>
      <c r="R51" s="831"/>
      <c r="S51" s="832"/>
    </row>
    <row r="52" spans="1:19" ht="15.75" thickBot="1">
      <c r="A52" s="1466"/>
      <c r="B52" s="1469"/>
      <c r="C52" s="1486"/>
      <c r="D52" s="1066" t="s">
        <v>940</v>
      </c>
      <c r="E52" s="306">
        <v>58270</v>
      </c>
      <c r="F52" s="871">
        <f t="shared" si="12"/>
        <v>57825</v>
      </c>
      <c r="G52" s="872">
        <v>43357</v>
      </c>
      <c r="H52" s="873">
        <v>4542</v>
      </c>
      <c r="I52" s="873">
        <v>2384</v>
      </c>
      <c r="J52" s="873"/>
      <c r="K52" s="873"/>
      <c r="L52" s="873"/>
      <c r="M52" s="873">
        <v>7542</v>
      </c>
      <c r="N52" s="873"/>
      <c r="O52" s="873"/>
      <c r="P52" s="873"/>
      <c r="Q52" s="873"/>
      <c r="R52" s="874"/>
      <c r="S52" s="875"/>
    </row>
    <row r="53" spans="1:19" ht="15">
      <c r="A53" s="1470" t="s">
        <v>121</v>
      </c>
      <c r="B53" s="1472" t="s">
        <v>144</v>
      </c>
      <c r="C53" s="1482" t="s">
        <v>145</v>
      </c>
      <c r="D53" s="814" t="s">
        <v>4</v>
      </c>
      <c r="E53" s="782">
        <v>0</v>
      </c>
      <c r="F53" s="815">
        <f t="shared" si="12"/>
        <v>8048</v>
      </c>
      <c r="G53" s="778"/>
      <c r="H53" s="830"/>
      <c r="I53" s="830">
        <v>8048</v>
      </c>
      <c r="J53" s="830"/>
      <c r="K53" s="830"/>
      <c r="L53" s="830"/>
      <c r="M53" s="830"/>
      <c r="N53" s="830"/>
      <c r="O53" s="830"/>
      <c r="P53" s="830"/>
      <c r="Q53" s="830"/>
      <c r="R53" s="831"/>
      <c r="S53" s="832"/>
    </row>
    <row r="54" spans="1:19" ht="15">
      <c r="A54" s="1465"/>
      <c r="B54" s="1468"/>
      <c r="C54" s="1483"/>
      <c r="D54" s="814" t="s">
        <v>892</v>
      </c>
      <c r="E54" s="782">
        <v>0</v>
      </c>
      <c r="F54" s="815">
        <f aca="true" t="shared" si="16" ref="F54">SUM(G54:S54)</f>
        <v>8048</v>
      </c>
      <c r="G54" s="778"/>
      <c r="H54" s="830"/>
      <c r="I54" s="830">
        <v>8048</v>
      </c>
      <c r="J54" s="830"/>
      <c r="K54" s="830"/>
      <c r="L54" s="830"/>
      <c r="M54" s="830"/>
      <c r="N54" s="830"/>
      <c r="O54" s="830"/>
      <c r="P54" s="830"/>
      <c r="Q54" s="830"/>
      <c r="R54" s="831"/>
      <c r="S54" s="832"/>
    </row>
    <row r="55" spans="1:19" ht="15.75" thickBot="1">
      <c r="A55" s="1471"/>
      <c r="B55" s="1473"/>
      <c r="C55" s="1484"/>
      <c r="D55" s="1066" t="s">
        <v>940</v>
      </c>
      <c r="E55" s="782">
        <v>0</v>
      </c>
      <c r="F55" s="815">
        <f t="shared" si="12"/>
        <v>8747</v>
      </c>
      <c r="G55" s="778"/>
      <c r="H55" s="830"/>
      <c r="I55" s="830">
        <v>8747</v>
      </c>
      <c r="J55" s="830"/>
      <c r="K55" s="830"/>
      <c r="L55" s="830"/>
      <c r="M55" s="830"/>
      <c r="N55" s="830"/>
      <c r="O55" s="830"/>
      <c r="P55" s="830"/>
      <c r="Q55" s="830"/>
      <c r="R55" s="831"/>
      <c r="S55" s="832"/>
    </row>
    <row r="56" spans="1:19" ht="15">
      <c r="A56" s="1464" t="s">
        <v>121</v>
      </c>
      <c r="B56" s="1467" t="s">
        <v>146</v>
      </c>
      <c r="C56" s="1485" t="s">
        <v>147</v>
      </c>
      <c r="D56" s="866" t="s">
        <v>4</v>
      </c>
      <c r="E56" s="308">
        <v>0</v>
      </c>
      <c r="F56" s="308">
        <f t="shared" si="12"/>
        <v>121500</v>
      </c>
      <c r="G56" s="867"/>
      <c r="H56" s="868"/>
      <c r="I56" s="868">
        <v>20000</v>
      </c>
      <c r="J56" s="868"/>
      <c r="K56" s="868"/>
      <c r="L56" s="868"/>
      <c r="M56" s="868">
        <v>44500</v>
      </c>
      <c r="N56" s="868">
        <v>57000</v>
      </c>
      <c r="O56" s="868"/>
      <c r="P56" s="868"/>
      <c r="Q56" s="868"/>
      <c r="R56" s="869"/>
      <c r="S56" s="870"/>
    </row>
    <row r="57" spans="1:19" ht="15">
      <c r="A57" s="1465"/>
      <c r="B57" s="1468"/>
      <c r="C57" s="1483"/>
      <c r="D57" s="814" t="s">
        <v>892</v>
      </c>
      <c r="E57" s="782">
        <v>250000</v>
      </c>
      <c r="F57" s="815">
        <f aca="true" t="shared" si="17" ref="F57">SUM(G57:S57)</f>
        <v>471050</v>
      </c>
      <c r="G57" s="779">
        <v>2720</v>
      </c>
      <c r="H57" s="833">
        <v>530</v>
      </c>
      <c r="I57" s="833">
        <v>40724</v>
      </c>
      <c r="J57" s="833"/>
      <c r="K57" s="833"/>
      <c r="L57" s="833"/>
      <c r="M57" s="833">
        <v>325679</v>
      </c>
      <c r="N57" s="833">
        <v>101397</v>
      </c>
      <c r="O57" s="833"/>
      <c r="P57" s="833"/>
      <c r="Q57" s="833"/>
      <c r="R57" s="831"/>
      <c r="S57" s="832"/>
    </row>
    <row r="58" spans="1:19" ht="15.75" thickBot="1">
      <c r="A58" s="1466"/>
      <c r="B58" s="1469"/>
      <c r="C58" s="1486"/>
      <c r="D58" s="1066" t="s">
        <v>940</v>
      </c>
      <c r="E58" s="306">
        <v>250000</v>
      </c>
      <c r="F58" s="871">
        <f t="shared" si="12"/>
        <v>471050</v>
      </c>
      <c r="G58" s="872">
        <v>2720</v>
      </c>
      <c r="H58" s="873">
        <v>530</v>
      </c>
      <c r="I58" s="873">
        <v>40724</v>
      </c>
      <c r="J58" s="873"/>
      <c r="K58" s="873"/>
      <c r="L58" s="873"/>
      <c r="M58" s="873">
        <v>325679</v>
      </c>
      <c r="N58" s="873">
        <v>101397</v>
      </c>
      <c r="O58" s="873"/>
      <c r="P58" s="873"/>
      <c r="Q58" s="873"/>
      <c r="R58" s="874"/>
      <c r="S58" s="875"/>
    </row>
    <row r="59" spans="1:19" ht="15">
      <c r="A59" s="1470" t="s">
        <v>121</v>
      </c>
      <c r="B59" s="1472" t="s">
        <v>148</v>
      </c>
      <c r="C59" s="1482" t="s">
        <v>149</v>
      </c>
      <c r="D59" s="814" t="s">
        <v>4</v>
      </c>
      <c r="E59" s="782">
        <v>0</v>
      </c>
      <c r="F59" s="815">
        <f t="shared" si="12"/>
        <v>62000</v>
      </c>
      <c r="G59" s="778"/>
      <c r="H59" s="830"/>
      <c r="I59" s="830">
        <v>62000</v>
      </c>
      <c r="J59" s="830"/>
      <c r="K59" s="830"/>
      <c r="L59" s="830"/>
      <c r="M59" s="830"/>
      <c r="N59" s="830"/>
      <c r="O59" s="830"/>
      <c r="P59" s="830"/>
      <c r="Q59" s="830"/>
      <c r="R59" s="831"/>
      <c r="S59" s="832"/>
    </row>
    <row r="60" spans="1:19" ht="15">
      <c r="A60" s="1465"/>
      <c r="B60" s="1468"/>
      <c r="C60" s="1483"/>
      <c r="D60" s="814" t="s">
        <v>892</v>
      </c>
      <c r="E60" s="782">
        <v>0</v>
      </c>
      <c r="F60" s="815">
        <f aca="true" t="shared" si="18" ref="F60">SUM(G60:S60)</f>
        <v>64685</v>
      </c>
      <c r="G60" s="778"/>
      <c r="H60" s="830"/>
      <c r="I60" s="830">
        <v>64685</v>
      </c>
      <c r="J60" s="830"/>
      <c r="K60" s="830"/>
      <c r="L60" s="830"/>
      <c r="M60" s="830"/>
      <c r="N60" s="830"/>
      <c r="O60" s="830"/>
      <c r="P60" s="830"/>
      <c r="Q60" s="830"/>
      <c r="R60" s="831"/>
      <c r="S60" s="832"/>
    </row>
    <row r="61" spans="1:19" ht="15.75" thickBot="1">
      <c r="A61" s="1471"/>
      <c r="B61" s="1473"/>
      <c r="C61" s="1484"/>
      <c r="D61" s="1066" t="s">
        <v>940</v>
      </c>
      <c r="E61" s="782">
        <v>0</v>
      </c>
      <c r="F61" s="815">
        <f t="shared" si="12"/>
        <v>64685</v>
      </c>
      <c r="G61" s="778"/>
      <c r="H61" s="830"/>
      <c r="I61" s="830">
        <v>64685</v>
      </c>
      <c r="J61" s="830"/>
      <c r="K61" s="830"/>
      <c r="L61" s="830"/>
      <c r="M61" s="830"/>
      <c r="N61" s="830"/>
      <c r="O61" s="830"/>
      <c r="P61" s="830"/>
      <c r="Q61" s="830"/>
      <c r="R61" s="831"/>
      <c r="S61" s="832"/>
    </row>
    <row r="62" spans="1:19" ht="15" customHeight="1">
      <c r="A62" s="1464" t="s">
        <v>118</v>
      </c>
      <c r="B62" s="1467" t="s">
        <v>150</v>
      </c>
      <c r="C62" s="1485" t="s">
        <v>151</v>
      </c>
      <c r="D62" s="866" t="s">
        <v>4</v>
      </c>
      <c r="E62" s="308">
        <v>0</v>
      </c>
      <c r="F62" s="308">
        <f t="shared" si="12"/>
        <v>15775</v>
      </c>
      <c r="G62" s="867"/>
      <c r="H62" s="868"/>
      <c r="I62" s="868"/>
      <c r="J62" s="868">
        <v>15775</v>
      </c>
      <c r="K62" s="868"/>
      <c r="L62" s="868"/>
      <c r="M62" s="868"/>
      <c r="N62" s="868"/>
      <c r="O62" s="868"/>
      <c r="P62" s="868"/>
      <c r="Q62" s="868"/>
      <c r="R62" s="869"/>
      <c r="S62" s="870"/>
    </row>
    <row r="63" spans="1:19" ht="15">
      <c r="A63" s="1465"/>
      <c r="B63" s="1468"/>
      <c r="C63" s="1483"/>
      <c r="D63" s="814" t="s">
        <v>892</v>
      </c>
      <c r="E63" s="782">
        <v>0</v>
      </c>
      <c r="F63" s="815">
        <f aca="true" t="shared" si="19" ref="F63">SUM(G63:S63)</f>
        <v>40374</v>
      </c>
      <c r="G63" s="779"/>
      <c r="H63" s="833"/>
      <c r="I63" s="833">
        <v>141</v>
      </c>
      <c r="J63" s="833">
        <v>40233</v>
      </c>
      <c r="K63" s="833"/>
      <c r="L63" s="833"/>
      <c r="M63" s="833"/>
      <c r="N63" s="833"/>
      <c r="O63" s="833"/>
      <c r="P63" s="833"/>
      <c r="Q63" s="833"/>
      <c r="R63" s="831"/>
      <c r="S63" s="832"/>
    </row>
    <row r="64" spans="1:19" ht="15.75" thickBot="1">
      <c r="A64" s="1466"/>
      <c r="B64" s="1469"/>
      <c r="C64" s="1486"/>
      <c r="D64" s="1066" t="s">
        <v>940</v>
      </c>
      <c r="E64" s="306">
        <v>0</v>
      </c>
      <c r="F64" s="871">
        <f t="shared" si="12"/>
        <v>40374</v>
      </c>
      <c r="G64" s="872"/>
      <c r="H64" s="873"/>
      <c r="I64" s="873">
        <v>141</v>
      </c>
      <c r="J64" s="873">
        <v>40233</v>
      </c>
      <c r="K64" s="873"/>
      <c r="L64" s="873"/>
      <c r="M64" s="873"/>
      <c r="N64" s="873"/>
      <c r="O64" s="873"/>
      <c r="P64" s="873"/>
      <c r="Q64" s="873"/>
      <c r="R64" s="874"/>
      <c r="S64" s="875"/>
    </row>
    <row r="65" spans="1:19" ht="15">
      <c r="A65" s="1470" t="s">
        <v>121</v>
      </c>
      <c r="B65" s="1472" t="s">
        <v>152</v>
      </c>
      <c r="C65" s="1482" t="s">
        <v>153</v>
      </c>
      <c r="D65" s="814" t="s">
        <v>4</v>
      </c>
      <c r="E65" s="782">
        <v>0</v>
      </c>
      <c r="F65" s="815">
        <f t="shared" si="12"/>
        <v>44650</v>
      </c>
      <c r="G65" s="778"/>
      <c r="H65" s="830"/>
      <c r="I65" s="830">
        <v>44650</v>
      </c>
      <c r="J65" s="830"/>
      <c r="K65" s="830"/>
      <c r="L65" s="830"/>
      <c r="M65" s="830"/>
      <c r="N65" s="830"/>
      <c r="O65" s="830"/>
      <c r="P65" s="830"/>
      <c r="Q65" s="830"/>
      <c r="R65" s="830"/>
      <c r="S65" s="834"/>
    </row>
    <row r="66" spans="1:19" ht="15">
      <c r="A66" s="1465"/>
      <c r="B66" s="1468"/>
      <c r="C66" s="1483"/>
      <c r="D66" s="814" t="s">
        <v>892</v>
      </c>
      <c r="E66" s="782">
        <v>0</v>
      </c>
      <c r="F66" s="815">
        <f aca="true" t="shared" si="20" ref="F66">SUM(G66:S66)</f>
        <v>44650</v>
      </c>
      <c r="G66" s="778"/>
      <c r="H66" s="830"/>
      <c r="I66" s="830">
        <v>44650</v>
      </c>
      <c r="J66" s="830"/>
      <c r="K66" s="830"/>
      <c r="L66" s="830"/>
      <c r="M66" s="830"/>
      <c r="N66" s="830"/>
      <c r="O66" s="830"/>
      <c r="P66" s="830"/>
      <c r="Q66" s="830"/>
      <c r="R66" s="830"/>
      <c r="S66" s="834"/>
    </row>
    <row r="67" spans="1:19" ht="15.75" thickBot="1">
      <c r="A67" s="1471"/>
      <c r="B67" s="1473"/>
      <c r="C67" s="1484"/>
      <c r="D67" s="1066" t="s">
        <v>940</v>
      </c>
      <c r="E67" s="782">
        <v>0</v>
      </c>
      <c r="F67" s="815">
        <f t="shared" si="12"/>
        <v>59484</v>
      </c>
      <c r="G67" s="778"/>
      <c r="H67" s="830"/>
      <c r="I67" s="830">
        <v>59484</v>
      </c>
      <c r="J67" s="830"/>
      <c r="K67" s="830"/>
      <c r="L67" s="830"/>
      <c r="M67" s="830"/>
      <c r="N67" s="830"/>
      <c r="O67" s="830"/>
      <c r="P67" s="830"/>
      <c r="Q67" s="830"/>
      <c r="R67" s="830"/>
      <c r="S67" s="834"/>
    </row>
    <row r="68" spans="1:19" ht="15">
      <c r="A68" s="1464" t="s">
        <v>121</v>
      </c>
      <c r="B68" s="1467" t="s">
        <v>154</v>
      </c>
      <c r="C68" s="1485" t="s">
        <v>155</v>
      </c>
      <c r="D68" s="866" t="s">
        <v>4</v>
      </c>
      <c r="E68" s="308">
        <v>0</v>
      </c>
      <c r="F68" s="308">
        <f aca="true" t="shared" si="21" ref="F68:F130">SUM(G68:S68)</f>
        <v>19161</v>
      </c>
      <c r="G68" s="867"/>
      <c r="H68" s="868"/>
      <c r="I68" s="868">
        <v>9000</v>
      </c>
      <c r="J68" s="868"/>
      <c r="K68" s="868"/>
      <c r="L68" s="868"/>
      <c r="M68" s="868"/>
      <c r="N68" s="868">
        <v>10161</v>
      </c>
      <c r="O68" s="868"/>
      <c r="P68" s="868"/>
      <c r="Q68" s="868"/>
      <c r="R68" s="869"/>
      <c r="S68" s="870"/>
    </row>
    <row r="69" spans="1:19" ht="15">
      <c r="A69" s="1465"/>
      <c r="B69" s="1468"/>
      <c r="C69" s="1483"/>
      <c r="D69" s="814" t="s">
        <v>892</v>
      </c>
      <c r="E69" s="782">
        <v>0</v>
      </c>
      <c r="F69" s="815">
        <f aca="true" t="shared" si="22" ref="F69">SUM(G69:S69)</f>
        <v>21606</v>
      </c>
      <c r="G69" s="779"/>
      <c r="H69" s="833"/>
      <c r="I69" s="833">
        <v>8642</v>
      </c>
      <c r="J69" s="833"/>
      <c r="K69" s="833"/>
      <c r="L69" s="833"/>
      <c r="M69" s="833"/>
      <c r="N69" s="833">
        <v>12964</v>
      </c>
      <c r="O69" s="833"/>
      <c r="P69" s="833"/>
      <c r="Q69" s="833"/>
      <c r="R69" s="831"/>
      <c r="S69" s="832"/>
    </row>
    <row r="70" spans="1:19" ht="15.75" thickBot="1">
      <c r="A70" s="1466"/>
      <c r="B70" s="1469"/>
      <c r="C70" s="1486"/>
      <c r="D70" s="1066" t="s">
        <v>940</v>
      </c>
      <c r="E70" s="306">
        <v>0</v>
      </c>
      <c r="F70" s="871">
        <f t="shared" si="21"/>
        <v>21606</v>
      </c>
      <c r="G70" s="872"/>
      <c r="H70" s="873"/>
      <c r="I70" s="873">
        <v>8642</v>
      </c>
      <c r="J70" s="873"/>
      <c r="K70" s="873"/>
      <c r="L70" s="873"/>
      <c r="M70" s="873"/>
      <c r="N70" s="873">
        <v>12964</v>
      </c>
      <c r="O70" s="873"/>
      <c r="P70" s="873"/>
      <c r="Q70" s="873"/>
      <c r="R70" s="874"/>
      <c r="S70" s="875"/>
    </row>
    <row r="71" spans="1:19" ht="15">
      <c r="A71" s="1470" t="s">
        <v>121</v>
      </c>
      <c r="B71" s="1472" t="s">
        <v>156</v>
      </c>
      <c r="C71" s="1482" t="s">
        <v>157</v>
      </c>
      <c r="D71" s="814" t="s">
        <v>4</v>
      </c>
      <c r="E71" s="782">
        <v>2200</v>
      </c>
      <c r="F71" s="815">
        <f t="shared" si="21"/>
        <v>126977</v>
      </c>
      <c r="G71" s="779"/>
      <c r="H71" s="833"/>
      <c r="I71" s="833">
        <v>79952</v>
      </c>
      <c r="J71" s="833">
        <v>4000</v>
      </c>
      <c r="K71" s="830"/>
      <c r="L71" s="833"/>
      <c r="M71" s="833">
        <v>43025</v>
      </c>
      <c r="N71" s="833"/>
      <c r="O71" s="833"/>
      <c r="P71" s="833"/>
      <c r="Q71" s="833"/>
      <c r="R71" s="831"/>
      <c r="S71" s="832"/>
    </row>
    <row r="72" spans="1:19" ht="15">
      <c r="A72" s="1465"/>
      <c r="B72" s="1468"/>
      <c r="C72" s="1483"/>
      <c r="D72" s="814" t="s">
        <v>892</v>
      </c>
      <c r="E72" s="782">
        <v>0</v>
      </c>
      <c r="F72" s="815">
        <f aca="true" t="shared" si="23" ref="F72">SUM(G72:S72)</f>
        <v>125820</v>
      </c>
      <c r="G72" s="779"/>
      <c r="H72" s="833"/>
      <c r="I72" s="833">
        <v>58507</v>
      </c>
      <c r="J72" s="833">
        <v>3740</v>
      </c>
      <c r="K72" s="830"/>
      <c r="L72" s="833"/>
      <c r="M72" s="833">
        <v>63573</v>
      </c>
      <c r="N72" s="833"/>
      <c r="O72" s="833"/>
      <c r="P72" s="833"/>
      <c r="Q72" s="833"/>
      <c r="R72" s="831"/>
      <c r="S72" s="832"/>
    </row>
    <row r="73" spans="1:19" ht="15.75" thickBot="1">
      <c r="A73" s="1471"/>
      <c r="B73" s="1473"/>
      <c r="C73" s="1484"/>
      <c r="D73" s="1066" t="s">
        <v>940</v>
      </c>
      <c r="E73" s="782">
        <v>180</v>
      </c>
      <c r="F73" s="815">
        <f t="shared" si="21"/>
        <v>92474</v>
      </c>
      <c r="G73" s="779"/>
      <c r="H73" s="833"/>
      <c r="I73" s="833">
        <v>25461</v>
      </c>
      <c r="J73" s="833">
        <v>3440</v>
      </c>
      <c r="K73" s="830"/>
      <c r="L73" s="833"/>
      <c r="M73" s="833">
        <v>63573</v>
      </c>
      <c r="N73" s="833"/>
      <c r="O73" s="833"/>
      <c r="P73" s="833"/>
      <c r="Q73" s="833"/>
      <c r="R73" s="831"/>
      <c r="S73" s="832"/>
    </row>
    <row r="74" spans="1:19" ht="15" customHeight="1">
      <c r="A74" s="1464" t="s">
        <v>118</v>
      </c>
      <c r="B74" s="1467" t="s">
        <v>158</v>
      </c>
      <c r="C74" s="1485" t="s">
        <v>159</v>
      </c>
      <c r="D74" s="866" t="s">
        <v>4</v>
      </c>
      <c r="E74" s="308">
        <v>680</v>
      </c>
      <c r="F74" s="308">
        <f t="shared" si="21"/>
        <v>0</v>
      </c>
      <c r="G74" s="867"/>
      <c r="H74" s="868"/>
      <c r="I74" s="868"/>
      <c r="J74" s="868"/>
      <c r="K74" s="868"/>
      <c r="L74" s="868"/>
      <c r="M74" s="868"/>
      <c r="N74" s="868"/>
      <c r="O74" s="868"/>
      <c r="P74" s="868"/>
      <c r="Q74" s="868"/>
      <c r="R74" s="869"/>
      <c r="S74" s="870"/>
    </row>
    <row r="75" spans="1:19" ht="15">
      <c r="A75" s="1465"/>
      <c r="B75" s="1468"/>
      <c r="C75" s="1483"/>
      <c r="D75" s="814" t="s">
        <v>892</v>
      </c>
      <c r="E75" s="782">
        <v>680</v>
      </c>
      <c r="F75" s="815">
        <f aca="true" t="shared" si="24" ref="F75">SUM(G75:S75)</f>
        <v>0</v>
      </c>
      <c r="G75" s="779"/>
      <c r="H75" s="833"/>
      <c r="I75" s="833"/>
      <c r="J75" s="833"/>
      <c r="K75" s="833"/>
      <c r="L75" s="833"/>
      <c r="M75" s="833"/>
      <c r="N75" s="833"/>
      <c r="O75" s="833"/>
      <c r="P75" s="833"/>
      <c r="Q75" s="833"/>
      <c r="R75" s="831"/>
      <c r="S75" s="832"/>
    </row>
    <row r="76" spans="1:19" ht="15.75" thickBot="1">
      <c r="A76" s="1466"/>
      <c r="B76" s="1469"/>
      <c r="C76" s="1486"/>
      <c r="D76" s="1066" t="s">
        <v>940</v>
      </c>
      <c r="E76" s="306">
        <v>680</v>
      </c>
      <c r="F76" s="871">
        <f t="shared" si="21"/>
        <v>0</v>
      </c>
      <c r="G76" s="872"/>
      <c r="H76" s="873"/>
      <c r="I76" s="873"/>
      <c r="J76" s="873"/>
      <c r="K76" s="873"/>
      <c r="L76" s="873"/>
      <c r="M76" s="873"/>
      <c r="N76" s="873"/>
      <c r="O76" s="873"/>
      <c r="P76" s="873"/>
      <c r="Q76" s="873"/>
      <c r="R76" s="874"/>
      <c r="S76" s="875"/>
    </row>
    <row r="77" spans="1:19" ht="15">
      <c r="A77" s="1470" t="s">
        <v>121</v>
      </c>
      <c r="B77" s="1472" t="s">
        <v>160</v>
      </c>
      <c r="C77" s="1482" t="s">
        <v>161</v>
      </c>
      <c r="D77" s="814" t="s">
        <v>4</v>
      </c>
      <c r="E77" s="782">
        <v>0</v>
      </c>
      <c r="F77" s="815">
        <f t="shared" si="21"/>
        <v>317800</v>
      </c>
      <c r="G77" s="778"/>
      <c r="H77" s="830"/>
      <c r="I77" s="830">
        <v>1100</v>
      </c>
      <c r="J77" s="830"/>
      <c r="K77" s="830"/>
      <c r="L77" s="830"/>
      <c r="M77" s="830">
        <v>66700</v>
      </c>
      <c r="N77" s="830">
        <v>250000</v>
      </c>
      <c r="O77" s="830"/>
      <c r="P77" s="830"/>
      <c r="Q77" s="830"/>
      <c r="R77" s="831"/>
      <c r="S77" s="832"/>
    </row>
    <row r="78" spans="1:19" ht="15">
      <c r="A78" s="1465"/>
      <c r="B78" s="1468"/>
      <c r="C78" s="1483"/>
      <c r="D78" s="814" t="s">
        <v>892</v>
      </c>
      <c r="E78" s="782">
        <v>0</v>
      </c>
      <c r="F78" s="815">
        <f aca="true" t="shared" si="25" ref="F78">SUM(G78:S78)</f>
        <v>345930</v>
      </c>
      <c r="G78" s="778"/>
      <c r="H78" s="830"/>
      <c r="I78" s="830">
        <v>1230</v>
      </c>
      <c r="J78" s="830"/>
      <c r="K78" s="830"/>
      <c r="L78" s="830"/>
      <c r="M78" s="830">
        <v>94700</v>
      </c>
      <c r="N78" s="830">
        <v>250000</v>
      </c>
      <c r="O78" s="830"/>
      <c r="P78" s="830"/>
      <c r="Q78" s="830"/>
      <c r="R78" s="831"/>
      <c r="S78" s="832"/>
    </row>
    <row r="79" spans="1:19" ht="15.75" thickBot="1">
      <c r="A79" s="1471"/>
      <c r="B79" s="1473"/>
      <c r="C79" s="1484"/>
      <c r="D79" s="1066" t="s">
        <v>940</v>
      </c>
      <c r="E79" s="782">
        <v>0</v>
      </c>
      <c r="F79" s="815">
        <f t="shared" si="21"/>
        <v>353822</v>
      </c>
      <c r="G79" s="778"/>
      <c r="H79" s="830"/>
      <c r="I79" s="830">
        <v>1375</v>
      </c>
      <c r="J79" s="830"/>
      <c r="K79" s="830"/>
      <c r="L79" s="830"/>
      <c r="M79" s="830">
        <v>94700</v>
      </c>
      <c r="N79" s="830">
        <v>257747</v>
      </c>
      <c r="O79" s="830"/>
      <c r="P79" s="830"/>
      <c r="Q79" s="830"/>
      <c r="R79" s="831"/>
      <c r="S79" s="832"/>
    </row>
    <row r="80" spans="1:19" ht="15">
      <c r="A80" s="1464" t="s">
        <v>121</v>
      </c>
      <c r="B80" s="1467" t="s">
        <v>162</v>
      </c>
      <c r="C80" s="1485" t="s">
        <v>163</v>
      </c>
      <c r="D80" s="866" t="s">
        <v>4</v>
      </c>
      <c r="E80" s="308">
        <v>0</v>
      </c>
      <c r="F80" s="308">
        <f t="shared" si="21"/>
        <v>69579</v>
      </c>
      <c r="G80" s="867"/>
      <c r="H80" s="868"/>
      <c r="I80" s="868">
        <v>47290</v>
      </c>
      <c r="J80" s="868"/>
      <c r="K80" s="868"/>
      <c r="L80" s="868"/>
      <c r="M80" s="868">
        <v>13135</v>
      </c>
      <c r="N80" s="868">
        <v>9154</v>
      </c>
      <c r="O80" s="868"/>
      <c r="P80" s="868"/>
      <c r="Q80" s="868"/>
      <c r="R80" s="869"/>
      <c r="S80" s="870"/>
    </row>
    <row r="81" spans="1:19" ht="15">
      <c r="A81" s="1465"/>
      <c r="B81" s="1468"/>
      <c r="C81" s="1483"/>
      <c r="D81" s="814" t="s">
        <v>892</v>
      </c>
      <c r="E81" s="782">
        <v>0</v>
      </c>
      <c r="F81" s="815">
        <f aca="true" t="shared" si="26" ref="F81">SUM(G81:S81)</f>
        <v>68379</v>
      </c>
      <c r="G81" s="779"/>
      <c r="H81" s="833"/>
      <c r="I81" s="833">
        <v>46940</v>
      </c>
      <c r="J81" s="833"/>
      <c r="K81" s="833"/>
      <c r="L81" s="833"/>
      <c r="M81" s="833">
        <v>12285</v>
      </c>
      <c r="N81" s="833">
        <v>9154</v>
      </c>
      <c r="O81" s="833"/>
      <c r="P81" s="833"/>
      <c r="Q81" s="833"/>
      <c r="R81" s="831"/>
      <c r="S81" s="832"/>
    </row>
    <row r="82" spans="1:19" ht="15.75" thickBot="1">
      <c r="A82" s="1466"/>
      <c r="B82" s="1469"/>
      <c r="C82" s="1486"/>
      <c r="D82" s="1066" t="s">
        <v>940</v>
      </c>
      <c r="E82" s="306">
        <v>0</v>
      </c>
      <c r="F82" s="871">
        <f t="shared" si="21"/>
        <v>60220</v>
      </c>
      <c r="G82" s="872"/>
      <c r="H82" s="873"/>
      <c r="I82" s="873">
        <v>46528</v>
      </c>
      <c r="J82" s="873"/>
      <c r="K82" s="873"/>
      <c r="L82" s="873"/>
      <c r="M82" s="873">
        <v>4538</v>
      </c>
      <c r="N82" s="873">
        <v>9154</v>
      </c>
      <c r="O82" s="873"/>
      <c r="P82" s="873"/>
      <c r="Q82" s="873"/>
      <c r="R82" s="874"/>
      <c r="S82" s="875"/>
    </row>
    <row r="83" spans="1:19" ht="15">
      <c r="A83" s="1470" t="s">
        <v>121</v>
      </c>
      <c r="B83" s="1472" t="s">
        <v>164</v>
      </c>
      <c r="C83" s="1482" t="s">
        <v>165</v>
      </c>
      <c r="D83" s="814" t="s">
        <v>4</v>
      </c>
      <c r="E83" s="782">
        <v>0</v>
      </c>
      <c r="F83" s="815">
        <f t="shared" si="21"/>
        <v>81850</v>
      </c>
      <c r="G83" s="778"/>
      <c r="H83" s="830"/>
      <c r="I83" s="830">
        <v>79215</v>
      </c>
      <c r="J83" s="830"/>
      <c r="K83" s="830"/>
      <c r="L83" s="830"/>
      <c r="M83" s="830">
        <v>2635</v>
      </c>
      <c r="N83" s="830"/>
      <c r="O83" s="830"/>
      <c r="P83" s="830"/>
      <c r="Q83" s="830"/>
      <c r="R83" s="831"/>
      <c r="S83" s="832"/>
    </row>
    <row r="84" spans="1:19" ht="15">
      <c r="A84" s="1465"/>
      <c r="B84" s="1468"/>
      <c r="C84" s="1483"/>
      <c r="D84" s="814" t="s">
        <v>892</v>
      </c>
      <c r="E84" s="782">
        <v>0</v>
      </c>
      <c r="F84" s="815">
        <f aca="true" t="shared" si="27" ref="F84">SUM(G84:S84)</f>
        <v>81850</v>
      </c>
      <c r="G84" s="778"/>
      <c r="H84" s="830"/>
      <c r="I84" s="830">
        <v>79215</v>
      </c>
      <c r="J84" s="830"/>
      <c r="K84" s="830"/>
      <c r="L84" s="830"/>
      <c r="M84" s="830">
        <v>2635</v>
      </c>
      <c r="N84" s="830"/>
      <c r="O84" s="830"/>
      <c r="P84" s="830"/>
      <c r="Q84" s="830"/>
      <c r="R84" s="831"/>
      <c r="S84" s="832"/>
    </row>
    <row r="85" spans="1:19" ht="15.75" thickBot="1">
      <c r="A85" s="1471"/>
      <c r="B85" s="1473"/>
      <c r="C85" s="1484"/>
      <c r="D85" s="1066" t="s">
        <v>940</v>
      </c>
      <c r="E85" s="782">
        <v>0</v>
      </c>
      <c r="F85" s="815">
        <f t="shared" si="21"/>
        <v>104026</v>
      </c>
      <c r="G85" s="778"/>
      <c r="H85" s="830"/>
      <c r="I85" s="830">
        <v>101391</v>
      </c>
      <c r="J85" s="830"/>
      <c r="K85" s="830"/>
      <c r="L85" s="830"/>
      <c r="M85" s="830">
        <v>2635</v>
      </c>
      <c r="N85" s="830"/>
      <c r="O85" s="830"/>
      <c r="P85" s="830"/>
      <c r="Q85" s="830"/>
      <c r="R85" s="831"/>
      <c r="S85" s="832"/>
    </row>
    <row r="86" spans="1:19" ht="15">
      <c r="A86" s="1464" t="s">
        <v>121</v>
      </c>
      <c r="B86" s="1467" t="s">
        <v>164</v>
      </c>
      <c r="C86" s="1485" t="s">
        <v>166</v>
      </c>
      <c r="D86" s="866" t="s">
        <v>4</v>
      </c>
      <c r="E86" s="308">
        <v>0</v>
      </c>
      <c r="F86" s="308">
        <f t="shared" si="21"/>
        <v>10300</v>
      </c>
      <c r="G86" s="867"/>
      <c r="H86" s="868"/>
      <c r="I86" s="868">
        <v>5300</v>
      </c>
      <c r="J86" s="868"/>
      <c r="K86" s="868"/>
      <c r="L86" s="868"/>
      <c r="M86" s="868"/>
      <c r="N86" s="868">
        <v>5000</v>
      </c>
      <c r="O86" s="868"/>
      <c r="P86" s="868"/>
      <c r="Q86" s="868"/>
      <c r="R86" s="869"/>
      <c r="S86" s="870"/>
    </row>
    <row r="87" spans="1:19" ht="15">
      <c r="A87" s="1465"/>
      <c r="B87" s="1468"/>
      <c r="C87" s="1483"/>
      <c r="D87" s="814" t="s">
        <v>892</v>
      </c>
      <c r="E87" s="782">
        <v>0</v>
      </c>
      <c r="F87" s="815">
        <f aca="true" t="shared" si="28" ref="F87">SUM(G87:S87)</f>
        <v>10300</v>
      </c>
      <c r="G87" s="779"/>
      <c r="H87" s="833"/>
      <c r="I87" s="833">
        <v>5300</v>
      </c>
      <c r="J87" s="833"/>
      <c r="K87" s="833"/>
      <c r="L87" s="833"/>
      <c r="M87" s="833"/>
      <c r="N87" s="833">
        <v>5000</v>
      </c>
      <c r="O87" s="833"/>
      <c r="P87" s="833"/>
      <c r="Q87" s="833"/>
      <c r="R87" s="831"/>
      <c r="S87" s="832"/>
    </row>
    <row r="88" spans="1:19" ht="15.75" thickBot="1">
      <c r="A88" s="1466"/>
      <c r="B88" s="1469"/>
      <c r="C88" s="1486"/>
      <c r="D88" s="1066" t="s">
        <v>940</v>
      </c>
      <c r="E88" s="306">
        <v>0</v>
      </c>
      <c r="F88" s="871">
        <f t="shared" si="21"/>
        <v>10300</v>
      </c>
      <c r="G88" s="872"/>
      <c r="H88" s="873"/>
      <c r="I88" s="873">
        <v>8137</v>
      </c>
      <c r="J88" s="873"/>
      <c r="K88" s="873"/>
      <c r="L88" s="873"/>
      <c r="M88" s="873"/>
      <c r="N88" s="873">
        <v>2163</v>
      </c>
      <c r="O88" s="873"/>
      <c r="P88" s="873"/>
      <c r="Q88" s="873"/>
      <c r="R88" s="874"/>
      <c r="S88" s="875"/>
    </row>
    <row r="89" spans="1:19" ht="15">
      <c r="A89" s="1470" t="s">
        <v>121</v>
      </c>
      <c r="B89" s="1472" t="s">
        <v>167</v>
      </c>
      <c r="C89" s="1482" t="s">
        <v>168</v>
      </c>
      <c r="D89" s="814" t="s">
        <v>4</v>
      </c>
      <c r="E89" s="782">
        <v>0</v>
      </c>
      <c r="F89" s="815">
        <f t="shared" si="21"/>
        <v>4020</v>
      </c>
      <c r="G89" s="779"/>
      <c r="H89" s="833"/>
      <c r="I89" s="833">
        <v>4020</v>
      </c>
      <c r="J89" s="833"/>
      <c r="K89" s="830"/>
      <c r="L89" s="833"/>
      <c r="M89" s="833"/>
      <c r="N89" s="833"/>
      <c r="O89" s="833"/>
      <c r="P89" s="833"/>
      <c r="Q89" s="833"/>
      <c r="R89" s="831"/>
      <c r="S89" s="832"/>
    </row>
    <row r="90" spans="1:19" ht="15">
      <c r="A90" s="1465"/>
      <c r="B90" s="1468"/>
      <c r="C90" s="1483"/>
      <c r="D90" s="814" t="s">
        <v>892</v>
      </c>
      <c r="E90" s="782">
        <v>0</v>
      </c>
      <c r="F90" s="815">
        <f aca="true" t="shared" si="29" ref="F90">SUM(G90:S90)</f>
        <v>4020</v>
      </c>
      <c r="G90" s="779"/>
      <c r="H90" s="833"/>
      <c r="I90" s="833">
        <v>4020</v>
      </c>
      <c r="J90" s="833"/>
      <c r="K90" s="830"/>
      <c r="L90" s="833"/>
      <c r="M90" s="833"/>
      <c r="N90" s="833"/>
      <c r="O90" s="833"/>
      <c r="P90" s="833"/>
      <c r="Q90" s="833"/>
      <c r="R90" s="831"/>
      <c r="S90" s="832"/>
    </row>
    <row r="91" spans="1:19" ht="15.75" thickBot="1">
      <c r="A91" s="1471"/>
      <c r="B91" s="1473"/>
      <c r="C91" s="1484"/>
      <c r="D91" s="1066" t="s">
        <v>940</v>
      </c>
      <c r="E91" s="782">
        <v>0</v>
      </c>
      <c r="F91" s="815">
        <f t="shared" si="21"/>
        <v>2020</v>
      </c>
      <c r="G91" s="779"/>
      <c r="H91" s="833"/>
      <c r="I91" s="833">
        <v>2020</v>
      </c>
      <c r="J91" s="833"/>
      <c r="K91" s="830"/>
      <c r="L91" s="833"/>
      <c r="M91" s="833"/>
      <c r="N91" s="833"/>
      <c r="O91" s="833"/>
      <c r="P91" s="833"/>
      <c r="Q91" s="833"/>
      <c r="R91" s="831"/>
      <c r="S91" s="832"/>
    </row>
    <row r="92" spans="1:19" ht="15">
      <c r="A92" s="1464" t="s">
        <v>121</v>
      </c>
      <c r="B92" s="1467" t="s">
        <v>167</v>
      </c>
      <c r="C92" s="1485" t="s">
        <v>169</v>
      </c>
      <c r="D92" s="866" t="s">
        <v>4</v>
      </c>
      <c r="E92" s="308">
        <v>56</v>
      </c>
      <c r="F92" s="308">
        <f t="shared" si="21"/>
        <v>22364</v>
      </c>
      <c r="G92" s="867">
        <v>1000</v>
      </c>
      <c r="H92" s="868">
        <v>196</v>
      </c>
      <c r="I92" s="868">
        <v>15000</v>
      </c>
      <c r="J92" s="868"/>
      <c r="K92" s="868"/>
      <c r="L92" s="868"/>
      <c r="M92" s="868">
        <v>168</v>
      </c>
      <c r="N92" s="868"/>
      <c r="O92" s="868">
        <v>6000</v>
      </c>
      <c r="P92" s="868"/>
      <c r="Q92" s="868"/>
      <c r="R92" s="869"/>
      <c r="S92" s="870"/>
    </row>
    <row r="93" spans="1:19" ht="15">
      <c r="A93" s="1465"/>
      <c r="B93" s="1468"/>
      <c r="C93" s="1483"/>
      <c r="D93" s="814" t="s">
        <v>892</v>
      </c>
      <c r="E93" s="782">
        <v>96</v>
      </c>
      <c r="F93" s="815">
        <f aca="true" t="shared" si="30" ref="F93">SUM(G93:S93)</f>
        <v>20096</v>
      </c>
      <c r="G93" s="779">
        <v>1000</v>
      </c>
      <c r="H93" s="833">
        <v>196</v>
      </c>
      <c r="I93" s="833">
        <v>12692</v>
      </c>
      <c r="J93" s="833"/>
      <c r="K93" s="833"/>
      <c r="L93" s="833"/>
      <c r="M93" s="833">
        <v>168</v>
      </c>
      <c r="N93" s="833"/>
      <c r="O93" s="833">
        <v>6040</v>
      </c>
      <c r="P93" s="833"/>
      <c r="Q93" s="833"/>
      <c r="R93" s="831"/>
      <c r="S93" s="832"/>
    </row>
    <row r="94" spans="1:19" ht="15.75" thickBot="1">
      <c r="A94" s="1466"/>
      <c r="B94" s="1469"/>
      <c r="C94" s="1486"/>
      <c r="D94" s="1066" t="s">
        <v>940</v>
      </c>
      <c r="E94" s="306">
        <v>96</v>
      </c>
      <c r="F94" s="871">
        <f t="shared" si="21"/>
        <v>4150</v>
      </c>
      <c r="G94" s="872">
        <v>0</v>
      </c>
      <c r="H94" s="873">
        <v>196</v>
      </c>
      <c r="I94" s="873">
        <v>2286</v>
      </c>
      <c r="J94" s="873"/>
      <c r="K94" s="873"/>
      <c r="L94" s="873"/>
      <c r="M94" s="873">
        <v>168</v>
      </c>
      <c r="N94" s="873"/>
      <c r="O94" s="873">
        <v>1500</v>
      </c>
      <c r="P94" s="873"/>
      <c r="Q94" s="873"/>
      <c r="R94" s="874"/>
      <c r="S94" s="875"/>
    </row>
    <row r="95" spans="1:19" ht="15">
      <c r="A95" s="1470" t="s">
        <v>121</v>
      </c>
      <c r="B95" s="1472" t="s">
        <v>167</v>
      </c>
      <c r="C95" s="1482" t="s">
        <v>170</v>
      </c>
      <c r="D95" s="814" t="s">
        <v>4</v>
      </c>
      <c r="E95" s="782">
        <v>97707</v>
      </c>
      <c r="F95" s="815">
        <f t="shared" si="21"/>
        <v>1852066</v>
      </c>
      <c r="G95" s="779">
        <v>25815</v>
      </c>
      <c r="H95" s="833">
        <v>7056</v>
      </c>
      <c r="I95" s="833">
        <v>86500</v>
      </c>
      <c r="J95" s="833">
        <v>233133</v>
      </c>
      <c r="K95" s="830"/>
      <c r="L95" s="833"/>
      <c r="M95" s="833">
        <v>1363163</v>
      </c>
      <c r="N95" s="833">
        <v>136399</v>
      </c>
      <c r="O95" s="835"/>
      <c r="P95" s="833"/>
      <c r="Q95" s="833"/>
      <c r="R95" s="831"/>
      <c r="S95" s="832"/>
    </row>
    <row r="96" spans="1:19" ht="15">
      <c r="A96" s="1465"/>
      <c r="B96" s="1468"/>
      <c r="C96" s="1483"/>
      <c r="D96" s="814" t="s">
        <v>892</v>
      </c>
      <c r="E96" s="782">
        <v>1278236</v>
      </c>
      <c r="F96" s="815">
        <f aca="true" t="shared" si="31" ref="F96">SUM(G96:S96)</f>
        <v>3114718</v>
      </c>
      <c r="G96" s="779">
        <v>199595</v>
      </c>
      <c r="H96" s="833">
        <v>41344</v>
      </c>
      <c r="I96" s="833">
        <v>495427</v>
      </c>
      <c r="J96" s="833">
        <v>226083</v>
      </c>
      <c r="K96" s="830"/>
      <c r="L96" s="833"/>
      <c r="M96" s="833">
        <v>1838136</v>
      </c>
      <c r="N96" s="833">
        <v>313383</v>
      </c>
      <c r="O96" s="835">
        <v>750</v>
      </c>
      <c r="P96" s="833"/>
      <c r="Q96" s="833"/>
      <c r="R96" s="831"/>
      <c r="S96" s="832"/>
    </row>
    <row r="97" spans="1:19" ht="15.75" thickBot="1">
      <c r="A97" s="1471"/>
      <c r="B97" s="1473"/>
      <c r="C97" s="1484"/>
      <c r="D97" s="1066" t="s">
        <v>940</v>
      </c>
      <c r="E97" s="782">
        <v>1278236</v>
      </c>
      <c r="F97" s="815">
        <f t="shared" si="21"/>
        <v>3209645</v>
      </c>
      <c r="G97" s="779">
        <v>199595</v>
      </c>
      <c r="H97" s="833">
        <v>41344</v>
      </c>
      <c r="I97" s="833">
        <v>496398</v>
      </c>
      <c r="J97" s="833">
        <v>233783</v>
      </c>
      <c r="K97" s="830"/>
      <c r="L97" s="833"/>
      <c r="M97" s="833">
        <v>1924257</v>
      </c>
      <c r="N97" s="833">
        <v>313518</v>
      </c>
      <c r="O97" s="835">
        <v>750</v>
      </c>
      <c r="P97" s="833"/>
      <c r="Q97" s="833"/>
      <c r="R97" s="831"/>
      <c r="S97" s="832"/>
    </row>
    <row r="98" spans="1:19" ht="15">
      <c r="A98" s="1464" t="s">
        <v>121</v>
      </c>
      <c r="B98" s="1467" t="s">
        <v>167</v>
      </c>
      <c r="C98" s="1485" t="s">
        <v>171</v>
      </c>
      <c r="D98" s="866" t="s">
        <v>4</v>
      </c>
      <c r="E98" s="308">
        <v>7620</v>
      </c>
      <c r="F98" s="308">
        <f t="shared" si="21"/>
        <v>14790</v>
      </c>
      <c r="G98" s="867">
        <v>1200</v>
      </c>
      <c r="H98" s="868">
        <v>228</v>
      </c>
      <c r="I98" s="868">
        <v>12367</v>
      </c>
      <c r="J98" s="868"/>
      <c r="K98" s="868"/>
      <c r="L98" s="868"/>
      <c r="M98" s="868">
        <v>614</v>
      </c>
      <c r="N98" s="868">
        <v>381</v>
      </c>
      <c r="O98" s="868"/>
      <c r="P98" s="868"/>
      <c r="Q98" s="868"/>
      <c r="R98" s="869"/>
      <c r="S98" s="870"/>
    </row>
    <row r="99" spans="1:19" ht="15">
      <c r="A99" s="1465"/>
      <c r="B99" s="1468"/>
      <c r="C99" s="1483"/>
      <c r="D99" s="814" t="s">
        <v>892</v>
      </c>
      <c r="E99" s="782">
        <v>7620</v>
      </c>
      <c r="F99" s="815">
        <f>SUM(G99:S99)</f>
        <v>14790</v>
      </c>
      <c r="G99" s="779">
        <v>920</v>
      </c>
      <c r="H99" s="833">
        <v>228</v>
      </c>
      <c r="I99" s="833">
        <v>11847</v>
      </c>
      <c r="J99" s="833"/>
      <c r="K99" s="833"/>
      <c r="L99" s="833"/>
      <c r="M99" s="833">
        <v>1414</v>
      </c>
      <c r="N99" s="833">
        <v>381</v>
      </c>
      <c r="O99" s="833"/>
      <c r="P99" s="833"/>
      <c r="Q99" s="833"/>
      <c r="R99" s="831"/>
      <c r="S99" s="832"/>
    </row>
    <row r="100" spans="1:19" ht="15.75" thickBot="1">
      <c r="A100" s="1466"/>
      <c r="B100" s="1469"/>
      <c r="C100" s="1486"/>
      <c r="D100" s="1066" t="s">
        <v>940</v>
      </c>
      <c r="E100" s="306">
        <v>569</v>
      </c>
      <c r="F100" s="871">
        <f>SUM(G100:S100)</f>
        <v>8849</v>
      </c>
      <c r="G100" s="872">
        <v>120</v>
      </c>
      <c r="H100" s="873">
        <v>46</v>
      </c>
      <c r="I100" s="873">
        <v>7250</v>
      </c>
      <c r="J100" s="873"/>
      <c r="K100" s="873"/>
      <c r="L100" s="873"/>
      <c r="M100" s="873">
        <v>1433</v>
      </c>
      <c r="N100" s="873">
        <v>0</v>
      </c>
      <c r="O100" s="873"/>
      <c r="P100" s="873"/>
      <c r="Q100" s="873"/>
      <c r="R100" s="874"/>
      <c r="S100" s="875"/>
    </row>
    <row r="101" spans="1:19" ht="15">
      <c r="A101" s="1470" t="s">
        <v>121</v>
      </c>
      <c r="B101" s="1472" t="s">
        <v>213</v>
      </c>
      <c r="C101" s="1482" t="s">
        <v>214</v>
      </c>
      <c r="D101" s="814" t="s">
        <v>4</v>
      </c>
      <c r="E101" s="782">
        <v>0</v>
      </c>
      <c r="F101" s="815">
        <f t="shared" si="21"/>
        <v>0</v>
      </c>
      <c r="G101" s="779"/>
      <c r="H101" s="833"/>
      <c r="I101" s="833"/>
      <c r="J101" s="833"/>
      <c r="K101" s="830"/>
      <c r="L101" s="833"/>
      <c r="M101" s="833"/>
      <c r="N101" s="833"/>
      <c r="O101" s="835"/>
      <c r="P101" s="833"/>
      <c r="Q101" s="833"/>
      <c r="R101" s="831"/>
      <c r="S101" s="832"/>
    </row>
    <row r="102" spans="1:19" ht="15">
      <c r="A102" s="1465"/>
      <c r="B102" s="1468"/>
      <c r="C102" s="1483"/>
      <c r="D102" s="814" t="s">
        <v>892</v>
      </c>
      <c r="E102" s="782">
        <v>0</v>
      </c>
      <c r="F102" s="815">
        <f aca="true" t="shared" si="32" ref="F102">SUM(G102:S102)</f>
        <v>6860</v>
      </c>
      <c r="G102" s="779"/>
      <c r="H102" s="833"/>
      <c r="I102" s="833">
        <v>6860</v>
      </c>
      <c r="J102" s="833"/>
      <c r="K102" s="830"/>
      <c r="L102" s="833"/>
      <c r="M102" s="833"/>
      <c r="N102" s="833"/>
      <c r="O102" s="835"/>
      <c r="P102" s="833"/>
      <c r="Q102" s="833"/>
      <c r="R102" s="831"/>
      <c r="S102" s="832"/>
    </row>
    <row r="103" spans="1:19" ht="15.75" thickBot="1">
      <c r="A103" s="1471"/>
      <c r="B103" s="1473"/>
      <c r="C103" s="1484"/>
      <c r="D103" s="1066" t="s">
        <v>940</v>
      </c>
      <c r="E103" s="782">
        <v>0</v>
      </c>
      <c r="F103" s="815">
        <f t="shared" si="21"/>
        <v>7355</v>
      </c>
      <c r="G103" s="779"/>
      <c r="H103" s="833"/>
      <c r="I103" s="833">
        <v>7355</v>
      </c>
      <c r="J103" s="833"/>
      <c r="K103" s="830"/>
      <c r="L103" s="833"/>
      <c r="M103" s="833"/>
      <c r="N103" s="833"/>
      <c r="O103" s="835"/>
      <c r="P103" s="833"/>
      <c r="Q103" s="833"/>
      <c r="R103" s="831"/>
      <c r="S103" s="832"/>
    </row>
    <row r="104" spans="1:19" ht="15" customHeight="1">
      <c r="A104" s="1464" t="s">
        <v>118</v>
      </c>
      <c r="B104" s="1467" t="s">
        <v>172</v>
      </c>
      <c r="C104" s="1485" t="s">
        <v>173</v>
      </c>
      <c r="D104" s="866" t="s">
        <v>4</v>
      </c>
      <c r="E104" s="308">
        <v>0</v>
      </c>
      <c r="F104" s="308">
        <f t="shared" si="21"/>
        <v>1000</v>
      </c>
      <c r="G104" s="867"/>
      <c r="H104" s="868"/>
      <c r="I104" s="868">
        <v>1000</v>
      </c>
      <c r="J104" s="868"/>
      <c r="K104" s="868"/>
      <c r="L104" s="868"/>
      <c r="M104" s="868"/>
      <c r="N104" s="868"/>
      <c r="O104" s="868"/>
      <c r="P104" s="868"/>
      <c r="Q104" s="868"/>
      <c r="R104" s="869"/>
      <c r="S104" s="870"/>
    </row>
    <row r="105" spans="1:19" ht="15">
      <c r="A105" s="1465"/>
      <c r="B105" s="1468"/>
      <c r="C105" s="1483"/>
      <c r="D105" s="814" t="s">
        <v>892</v>
      </c>
      <c r="E105" s="782">
        <v>0</v>
      </c>
      <c r="F105" s="815">
        <f aca="true" t="shared" si="33" ref="F105">SUM(G105:S105)</f>
        <v>1000</v>
      </c>
      <c r="G105" s="779"/>
      <c r="H105" s="833"/>
      <c r="I105" s="833">
        <v>1000</v>
      </c>
      <c r="J105" s="833"/>
      <c r="K105" s="833"/>
      <c r="L105" s="833"/>
      <c r="M105" s="833"/>
      <c r="N105" s="833"/>
      <c r="O105" s="833"/>
      <c r="P105" s="833"/>
      <c r="Q105" s="833"/>
      <c r="R105" s="831"/>
      <c r="S105" s="832"/>
    </row>
    <row r="106" spans="1:19" ht="15.75" thickBot="1">
      <c r="A106" s="1466"/>
      <c r="B106" s="1469"/>
      <c r="C106" s="1486"/>
      <c r="D106" s="1066" t="s">
        <v>940</v>
      </c>
      <c r="E106" s="306">
        <v>0</v>
      </c>
      <c r="F106" s="871">
        <f t="shared" si="21"/>
        <v>1000</v>
      </c>
      <c r="G106" s="872"/>
      <c r="H106" s="873"/>
      <c r="I106" s="873">
        <v>0</v>
      </c>
      <c r="J106" s="873"/>
      <c r="K106" s="873"/>
      <c r="L106" s="873"/>
      <c r="M106" s="873">
        <v>1000</v>
      </c>
      <c r="N106" s="873"/>
      <c r="O106" s="873"/>
      <c r="P106" s="873"/>
      <c r="Q106" s="873"/>
      <c r="R106" s="874"/>
      <c r="S106" s="875"/>
    </row>
    <row r="107" spans="1:19" ht="15" customHeight="1">
      <c r="A107" s="1470" t="s">
        <v>118</v>
      </c>
      <c r="B107" s="1472" t="s">
        <v>174</v>
      </c>
      <c r="C107" s="1482" t="s">
        <v>175</v>
      </c>
      <c r="D107" s="814" t="s">
        <v>4</v>
      </c>
      <c r="E107" s="782">
        <v>0</v>
      </c>
      <c r="F107" s="815">
        <f t="shared" si="21"/>
        <v>5818</v>
      </c>
      <c r="G107" s="779">
        <v>2500</v>
      </c>
      <c r="H107" s="833">
        <v>1018</v>
      </c>
      <c r="I107" s="833">
        <v>2300</v>
      </c>
      <c r="J107" s="833"/>
      <c r="K107" s="830"/>
      <c r="L107" s="833"/>
      <c r="M107" s="833"/>
      <c r="N107" s="833"/>
      <c r="O107" s="833"/>
      <c r="P107" s="833"/>
      <c r="Q107" s="833"/>
      <c r="R107" s="831"/>
      <c r="S107" s="832"/>
    </row>
    <row r="108" spans="1:19" ht="15">
      <c r="A108" s="1465"/>
      <c r="B108" s="1468"/>
      <c r="C108" s="1483"/>
      <c r="D108" s="814" t="s">
        <v>892</v>
      </c>
      <c r="E108" s="782">
        <v>0</v>
      </c>
      <c r="F108" s="815">
        <f aca="true" t="shared" si="34" ref="F108">SUM(G108:S108)</f>
        <v>7968</v>
      </c>
      <c r="G108" s="779">
        <v>3500</v>
      </c>
      <c r="H108" s="833">
        <v>1218</v>
      </c>
      <c r="I108" s="833">
        <v>2750</v>
      </c>
      <c r="J108" s="833">
        <v>500</v>
      </c>
      <c r="K108" s="830"/>
      <c r="L108" s="833"/>
      <c r="M108" s="833"/>
      <c r="N108" s="833"/>
      <c r="O108" s="833"/>
      <c r="P108" s="833"/>
      <c r="Q108" s="833"/>
      <c r="R108" s="831"/>
      <c r="S108" s="832"/>
    </row>
    <row r="109" spans="1:19" ht="15.75" thickBot="1">
      <c r="A109" s="1471"/>
      <c r="B109" s="1473"/>
      <c r="C109" s="1484"/>
      <c r="D109" s="1066" t="s">
        <v>940</v>
      </c>
      <c r="E109" s="782">
        <v>0</v>
      </c>
      <c r="F109" s="815">
        <f t="shared" si="21"/>
        <v>8808</v>
      </c>
      <c r="G109" s="779">
        <v>3500</v>
      </c>
      <c r="H109" s="833">
        <v>1218</v>
      </c>
      <c r="I109" s="833">
        <v>3590</v>
      </c>
      <c r="J109" s="833">
        <v>500</v>
      </c>
      <c r="K109" s="830"/>
      <c r="L109" s="833"/>
      <c r="M109" s="833"/>
      <c r="N109" s="833"/>
      <c r="O109" s="833"/>
      <c r="P109" s="833"/>
      <c r="Q109" s="833"/>
      <c r="R109" s="831"/>
      <c r="S109" s="832"/>
    </row>
    <row r="110" spans="1:19" ht="15" customHeight="1">
      <c r="A110" s="1464" t="s">
        <v>118</v>
      </c>
      <c r="B110" s="1467" t="s">
        <v>176</v>
      </c>
      <c r="C110" s="1485" t="s">
        <v>177</v>
      </c>
      <c r="D110" s="866" t="s">
        <v>4</v>
      </c>
      <c r="E110" s="308">
        <v>0</v>
      </c>
      <c r="F110" s="308">
        <f t="shared" si="21"/>
        <v>1500</v>
      </c>
      <c r="G110" s="867"/>
      <c r="H110" s="868"/>
      <c r="I110" s="868">
        <v>1500</v>
      </c>
      <c r="J110" s="868"/>
      <c r="K110" s="868"/>
      <c r="L110" s="868"/>
      <c r="M110" s="868"/>
      <c r="N110" s="868"/>
      <c r="O110" s="868"/>
      <c r="P110" s="868"/>
      <c r="Q110" s="868"/>
      <c r="R110" s="869"/>
      <c r="S110" s="870"/>
    </row>
    <row r="111" spans="1:19" ht="15">
      <c r="A111" s="1465"/>
      <c r="B111" s="1468"/>
      <c r="C111" s="1483"/>
      <c r="D111" s="814" t="s">
        <v>892</v>
      </c>
      <c r="E111" s="782">
        <v>0</v>
      </c>
      <c r="F111" s="815">
        <f aca="true" t="shared" si="35" ref="F111">SUM(G111:S111)</f>
        <v>1500</v>
      </c>
      <c r="G111" s="779"/>
      <c r="H111" s="833"/>
      <c r="I111" s="833">
        <v>1500</v>
      </c>
      <c r="J111" s="833"/>
      <c r="K111" s="833"/>
      <c r="L111" s="833"/>
      <c r="M111" s="833"/>
      <c r="N111" s="833"/>
      <c r="O111" s="833"/>
      <c r="P111" s="833"/>
      <c r="Q111" s="833"/>
      <c r="R111" s="831"/>
      <c r="S111" s="832"/>
    </row>
    <row r="112" spans="1:19" ht="15.75" thickBot="1">
      <c r="A112" s="1466"/>
      <c r="B112" s="1469"/>
      <c r="C112" s="1486"/>
      <c r="D112" s="1066" t="s">
        <v>940</v>
      </c>
      <c r="E112" s="306">
        <v>0</v>
      </c>
      <c r="F112" s="871">
        <f t="shared" si="21"/>
        <v>200</v>
      </c>
      <c r="G112" s="872"/>
      <c r="H112" s="873"/>
      <c r="I112" s="873">
        <v>200</v>
      </c>
      <c r="J112" s="873"/>
      <c r="K112" s="873"/>
      <c r="L112" s="873"/>
      <c r="M112" s="873"/>
      <c r="N112" s="873"/>
      <c r="O112" s="873"/>
      <c r="P112" s="873"/>
      <c r="Q112" s="873"/>
      <c r="R112" s="874"/>
      <c r="S112" s="875"/>
    </row>
    <row r="113" spans="1:19" ht="15">
      <c r="A113" s="1470" t="s">
        <v>121</v>
      </c>
      <c r="B113" s="1472" t="s">
        <v>178</v>
      </c>
      <c r="C113" s="1482" t="s">
        <v>179</v>
      </c>
      <c r="D113" s="814" t="s">
        <v>4</v>
      </c>
      <c r="E113" s="782">
        <v>0</v>
      </c>
      <c r="F113" s="815">
        <f t="shared" si="21"/>
        <v>158795</v>
      </c>
      <c r="G113" s="779"/>
      <c r="H113" s="833"/>
      <c r="I113" s="833"/>
      <c r="J113" s="833">
        <v>158795</v>
      </c>
      <c r="K113" s="830"/>
      <c r="L113" s="833"/>
      <c r="M113" s="833"/>
      <c r="N113" s="833"/>
      <c r="O113" s="833"/>
      <c r="P113" s="833"/>
      <c r="Q113" s="833"/>
      <c r="R113" s="831"/>
      <c r="S113" s="832"/>
    </row>
    <row r="114" spans="1:19" ht="15">
      <c r="A114" s="1465"/>
      <c r="B114" s="1468"/>
      <c r="C114" s="1483"/>
      <c r="D114" s="814" t="s">
        <v>892</v>
      </c>
      <c r="E114" s="782">
        <v>0</v>
      </c>
      <c r="F114" s="815">
        <f aca="true" t="shared" si="36" ref="F114">SUM(G114:S114)</f>
        <v>158795</v>
      </c>
      <c r="G114" s="779"/>
      <c r="H114" s="833"/>
      <c r="I114" s="833"/>
      <c r="J114" s="833">
        <v>158795</v>
      </c>
      <c r="K114" s="830"/>
      <c r="L114" s="833"/>
      <c r="M114" s="833"/>
      <c r="N114" s="833"/>
      <c r="O114" s="833"/>
      <c r="P114" s="833"/>
      <c r="Q114" s="833"/>
      <c r="R114" s="831"/>
      <c r="S114" s="832"/>
    </row>
    <row r="115" spans="1:19" ht="15.75" thickBot="1">
      <c r="A115" s="1471"/>
      <c r="B115" s="1473"/>
      <c r="C115" s="1484"/>
      <c r="D115" s="1066" t="s">
        <v>940</v>
      </c>
      <c r="E115" s="782">
        <v>0</v>
      </c>
      <c r="F115" s="815">
        <f t="shared" si="21"/>
        <v>174544</v>
      </c>
      <c r="G115" s="779"/>
      <c r="H115" s="833"/>
      <c r="I115" s="833"/>
      <c r="J115" s="833">
        <v>174544</v>
      </c>
      <c r="K115" s="830"/>
      <c r="L115" s="833"/>
      <c r="M115" s="833"/>
      <c r="N115" s="833"/>
      <c r="O115" s="833"/>
      <c r="P115" s="833"/>
      <c r="Q115" s="833"/>
      <c r="R115" s="831"/>
      <c r="S115" s="832"/>
    </row>
    <row r="116" spans="1:19" ht="15" customHeight="1">
      <c r="A116" s="1464" t="s">
        <v>118</v>
      </c>
      <c r="B116" s="1467" t="s">
        <v>180</v>
      </c>
      <c r="C116" s="1485" t="s">
        <v>181</v>
      </c>
      <c r="D116" s="866" t="s">
        <v>4</v>
      </c>
      <c r="E116" s="308">
        <v>0</v>
      </c>
      <c r="F116" s="308">
        <f t="shared" si="21"/>
        <v>8196</v>
      </c>
      <c r="G116" s="867">
        <v>900</v>
      </c>
      <c r="H116" s="868">
        <v>176</v>
      </c>
      <c r="I116" s="868">
        <v>7120</v>
      </c>
      <c r="J116" s="868"/>
      <c r="K116" s="868"/>
      <c r="L116" s="868"/>
      <c r="M116" s="868"/>
      <c r="N116" s="868"/>
      <c r="O116" s="868"/>
      <c r="P116" s="868"/>
      <c r="Q116" s="868"/>
      <c r="R116" s="869"/>
      <c r="S116" s="870"/>
    </row>
    <row r="117" spans="1:19" ht="15">
      <c r="A117" s="1465"/>
      <c r="B117" s="1468"/>
      <c r="C117" s="1483"/>
      <c r="D117" s="814" t="s">
        <v>892</v>
      </c>
      <c r="E117" s="782">
        <v>0</v>
      </c>
      <c r="F117" s="815">
        <f aca="true" t="shared" si="37" ref="F117">SUM(G117:S117)</f>
        <v>8521</v>
      </c>
      <c r="G117" s="779">
        <v>900</v>
      </c>
      <c r="H117" s="833">
        <v>176</v>
      </c>
      <c r="I117" s="833">
        <v>7435</v>
      </c>
      <c r="J117" s="833"/>
      <c r="K117" s="833"/>
      <c r="L117" s="833"/>
      <c r="M117" s="833">
        <v>10</v>
      </c>
      <c r="N117" s="833"/>
      <c r="O117" s="833"/>
      <c r="P117" s="833"/>
      <c r="Q117" s="833"/>
      <c r="R117" s="831"/>
      <c r="S117" s="832"/>
    </row>
    <row r="118" spans="1:19" ht="15.75" thickBot="1">
      <c r="A118" s="1466"/>
      <c r="B118" s="1469"/>
      <c r="C118" s="1486"/>
      <c r="D118" s="1066" t="s">
        <v>940</v>
      </c>
      <c r="E118" s="306">
        <v>0</v>
      </c>
      <c r="F118" s="871">
        <f t="shared" si="21"/>
        <v>8521</v>
      </c>
      <c r="G118" s="872"/>
      <c r="H118" s="873">
        <v>118</v>
      </c>
      <c r="I118" s="873">
        <v>8393</v>
      </c>
      <c r="J118" s="873"/>
      <c r="K118" s="873"/>
      <c r="L118" s="873"/>
      <c r="M118" s="873">
        <v>10</v>
      </c>
      <c r="N118" s="873"/>
      <c r="O118" s="873"/>
      <c r="P118" s="873"/>
      <c r="Q118" s="873"/>
      <c r="R118" s="874"/>
      <c r="S118" s="875"/>
    </row>
    <row r="119" spans="1:19" ht="15" customHeight="1">
      <c r="A119" s="1470" t="s">
        <v>118</v>
      </c>
      <c r="B119" s="1472" t="s">
        <v>182</v>
      </c>
      <c r="C119" s="1482" t="s">
        <v>183</v>
      </c>
      <c r="D119" s="814" t="s">
        <v>4</v>
      </c>
      <c r="E119" s="782">
        <v>0</v>
      </c>
      <c r="F119" s="815">
        <f t="shared" si="21"/>
        <v>153669</v>
      </c>
      <c r="G119" s="778"/>
      <c r="H119" s="830"/>
      <c r="I119" s="830"/>
      <c r="J119" s="830">
        <v>153669</v>
      </c>
      <c r="K119" s="830"/>
      <c r="L119" s="830"/>
      <c r="M119" s="830"/>
      <c r="N119" s="830"/>
      <c r="O119" s="830"/>
      <c r="P119" s="830"/>
      <c r="Q119" s="830"/>
      <c r="R119" s="831"/>
      <c r="S119" s="832"/>
    </row>
    <row r="120" spans="1:19" ht="15">
      <c r="A120" s="1465"/>
      <c r="B120" s="1468"/>
      <c r="C120" s="1483"/>
      <c r="D120" s="814" t="s">
        <v>892</v>
      </c>
      <c r="E120" s="782">
        <v>15000</v>
      </c>
      <c r="F120" s="815">
        <f aca="true" t="shared" si="38" ref="F120">SUM(G120:S120)</f>
        <v>209552</v>
      </c>
      <c r="G120" s="778"/>
      <c r="H120" s="830"/>
      <c r="I120" s="830"/>
      <c r="J120" s="830">
        <v>209352</v>
      </c>
      <c r="K120" s="830"/>
      <c r="L120" s="830"/>
      <c r="M120" s="830"/>
      <c r="N120" s="830"/>
      <c r="O120" s="830">
        <v>200</v>
      </c>
      <c r="P120" s="830"/>
      <c r="Q120" s="830"/>
      <c r="R120" s="831"/>
      <c r="S120" s="832"/>
    </row>
    <row r="121" spans="1:19" ht="15.75" thickBot="1">
      <c r="A121" s="1471"/>
      <c r="B121" s="1473"/>
      <c r="C121" s="1484"/>
      <c r="D121" s="1066" t="s">
        <v>940</v>
      </c>
      <c r="E121" s="782">
        <v>0</v>
      </c>
      <c r="F121" s="815">
        <f t="shared" si="21"/>
        <v>215050</v>
      </c>
      <c r="G121" s="778">
        <v>29</v>
      </c>
      <c r="H121" s="830"/>
      <c r="I121" s="830">
        <v>28</v>
      </c>
      <c r="J121" s="830">
        <v>214793</v>
      </c>
      <c r="K121" s="830"/>
      <c r="L121" s="830"/>
      <c r="M121" s="830"/>
      <c r="N121" s="830"/>
      <c r="O121" s="830">
        <v>200</v>
      </c>
      <c r="P121" s="830"/>
      <c r="Q121" s="830"/>
      <c r="R121" s="831"/>
      <c r="S121" s="832"/>
    </row>
    <row r="122" spans="1:19" ht="15" customHeight="1">
      <c r="A122" s="1464" t="s">
        <v>118</v>
      </c>
      <c r="B122" s="1467" t="s">
        <v>184</v>
      </c>
      <c r="C122" s="1485" t="s">
        <v>185</v>
      </c>
      <c r="D122" s="866" t="s">
        <v>4</v>
      </c>
      <c r="E122" s="308">
        <v>0</v>
      </c>
      <c r="F122" s="308">
        <f t="shared" si="21"/>
        <v>359</v>
      </c>
      <c r="G122" s="867">
        <v>300</v>
      </c>
      <c r="H122" s="868">
        <v>59</v>
      </c>
      <c r="I122" s="868"/>
      <c r="J122" s="868"/>
      <c r="K122" s="868"/>
      <c r="L122" s="868"/>
      <c r="M122" s="868"/>
      <c r="N122" s="868"/>
      <c r="O122" s="868"/>
      <c r="P122" s="868"/>
      <c r="Q122" s="868"/>
      <c r="R122" s="869"/>
      <c r="S122" s="870"/>
    </row>
    <row r="123" spans="1:19" ht="15">
      <c r="A123" s="1465"/>
      <c r="B123" s="1468"/>
      <c r="C123" s="1483"/>
      <c r="D123" s="814" t="s">
        <v>892</v>
      </c>
      <c r="E123" s="782">
        <v>0</v>
      </c>
      <c r="F123" s="815">
        <f aca="true" t="shared" si="39" ref="F123">SUM(G123:S123)</f>
        <v>2471</v>
      </c>
      <c r="G123" s="779">
        <v>1603</v>
      </c>
      <c r="H123" s="833">
        <v>300</v>
      </c>
      <c r="I123" s="833">
        <v>300</v>
      </c>
      <c r="J123" s="833">
        <v>268</v>
      </c>
      <c r="K123" s="833"/>
      <c r="L123" s="833"/>
      <c r="M123" s="833"/>
      <c r="N123" s="833"/>
      <c r="O123" s="833"/>
      <c r="P123" s="833"/>
      <c r="Q123" s="833"/>
      <c r="R123" s="831"/>
      <c r="S123" s="832"/>
    </row>
    <row r="124" spans="1:19" ht="15.75" thickBot="1">
      <c r="A124" s="1466"/>
      <c r="B124" s="1469"/>
      <c r="C124" s="1486"/>
      <c r="D124" s="1066" t="s">
        <v>940</v>
      </c>
      <c r="E124" s="306">
        <v>0</v>
      </c>
      <c r="F124" s="871">
        <f t="shared" si="21"/>
        <v>2471</v>
      </c>
      <c r="G124" s="872">
        <v>1623</v>
      </c>
      <c r="H124" s="873">
        <v>421</v>
      </c>
      <c r="I124" s="873">
        <v>159</v>
      </c>
      <c r="J124" s="873">
        <v>268</v>
      </c>
      <c r="K124" s="873"/>
      <c r="L124" s="873"/>
      <c r="M124" s="873"/>
      <c r="N124" s="873"/>
      <c r="O124" s="873"/>
      <c r="P124" s="873"/>
      <c r="Q124" s="873"/>
      <c r="R124" s="874"/>
      <c r="S124" s="875"/>
    </row>
    <row r="125" spans="1:19" ht="15" customHeight="1">
      <c r="A125" s="1470" t="s">
        <v>118</v>
      </c>
      <c r="B125" s="1472" t="s">
        <v>186</v>
      </c>
      <c r="C125" s="1482" t="s">
        <v>187</v>
      </c>
      <c r="D125" s="814" t="s">
        <v>4</v>
      </c>
      <c r="E125" s="782">
        <v>0</v>
      </c>
      <c r="F125" s="815">
        <f t="shared" si="21"/>
        <v>18000</v>
      </c>
      <c r="G125" s="779">
        <v>4500</v>
      </c>
      <c r="H125" s="833">
        <v>1832</v>
      </c>
      <c r="I125" s="833">
        <v>11668</v>
      </c>
      <c r="J125" s="833"/>
      <c r="K125" s="830"/>
      <c r="L125" s="833"/>
      <c r="M125" s="833"/>
      <c r="N125" s="833"/>
      <c r="O125" s="833"/>
      <c r="P125" s="833"/>
      <c r="Q125" s="833"/>
      <c r="R125" s="831"/>
      <c r="S125" s="832"/>
    </row>
    <row r="126" spans="1:19" ht="15">
      <c r="A126" s="1465"/>
      <c r="B126" s="1468"/>
      <c r="C126" s="1483"/>
      <c r="D126" s="814" t="s">
        <v>892</v>
      </c>
      <c r="E126" s="782">
        <v>0</v>
      </c>
      <c r="F126" s="815">
        <f aca="true" t="shared" si="40" ref="F126">SUM(G126:S126)</f>
        <v>17997</v>
      </c>
      <c r="G126" s="779">
        <v>4500</v>
      </c>
      <c r="H126" s="833">
        <v>1832</v>
      </c>
      <c r="I126" s="833">
        <v>11665</v>
      </c>
      <c r="J126" s="833"/>
      <c r="K126" s="830"/>
      <c r="L126" s="833"/>
      <c r="M126" s="833"/>
      <c r="N126" s="833"/>
      <c r="O126" s="833"/>
      <c r="P126" s="833"/>
      <c r="Q126" s="833"/>
      <c r="R126" s="831"/>
      <c r="S126" s="832"/>
    </row>
    <row r="127" spans="1:19" ht="15.75" thickBot="1">
      <c r="A127" s="1471"/>
      <c r="B127" s="1473"/>
      <c r="C127" s="1484"/>
      <c r="D127" s="1066" t="s">
        <v>940</v>
      </c>
      <c r="E127" s="782">
        <v>1700</v>
      </c>
      <c r="F127" s="815">
        <f t="shared" si="21"/>
        <v>17997</v>
      </c>
      <c r="G127" s="779">
        <v>9638</v>
      </c>
      <c r="H127" s="833">
        <v>4653</v>
      </c>
      <c r="I127" s="833">
        <v>3706</v>
      </c>
      <c r="J127" s="833"/>
      <c r="K127" s="830"/>
      <c r="L127" s="833"/>
      <c r="M127" s="833"/>
      <c r="N127" s="833"/>
      <c r="O127" s="833"/>
      <c r="P127" s="833"/>
      <c r="Q127" s="833"/>
      <c r="R127" s="831"/>
      <c r="S127" s="832"/>
    </row>
    <row r="128" spans="1:19" ht="15" customHeight="1">
      <c r="A128" s="1464" t="s">
        <v>118</v>
      </c>
      <c r="B128" s="1467" t="s">
        <v>188</v>
      </c>
      <c r="C128" s="1485" t="s">
        <v>189</v>
      </c>
      <c r="D128" s="866" t="s">
        <v>4</v>
      </c>
      <c r="E128" s="308">
        <v>0</v>
      </c>
      <c r="F128" s="308">
        <f t="shared" si="21"/>
        <v>4000</v>
      </c>
      <c r="G128" s="867"/>
      <c r="H128" s="868"/>
      <c r="I128" s="868">
        <v>4000</v>
      </c>
      <c r="J128" s="868"/>
      <c r="K128" s="868"/>
      <c r="L128" s="868"/>
      <c r="M128" s="868"/>
      <c r="N128" s="868"/>
      <c r="O128" s="868"/>
      <c r="P128" s="868"/>
      <c r="Q128" s="868"/>
      <c r="R128" s="869"/>
      <c r="S128" s="870"/>
    </row>
    <row r="129" spans="1:19" ht="15">
      <c r="A129" s="1465"/>
      <c r="B129" s="1468"/>
      <c r="C129" s="1483"/>
      <c r="D129" s="814" t="s">
        <v>892</v>
      </c>
      <c r="E129" s="782">
        <v>0</v>
      </c>
      <c r="F129" s="815">
        <f aca="true" t="shared" si="41" ref="F129">SUM(G129:S129)</f>
        <v>3682</v>
      </c>
      <c r="G129" s="779"/>
      <c r="H129" s="833"/>
      <c r="I129" s="833">
        <v>3682</v>
      </c>
      <c r="J129" s="833"/>
      <c r="K129" s="833"/>
      <c r="L129" s="833"/>
      <c r="M129" s="833"/>
      <c r="N129" s="833"/>
      <c r="O129" s="833"/>
      <c r="P129" s="833"/>
      <c r="Q129" s="833"/>
      <c r="R129" s="831"/>
      <c r="S129" s="832"/>
    </row>
    <row r="130" spans="1:19" ht="15.75" thickBot="1">
      <c r="A130" s="1466"/>
      <c r="B130" s="1469"/>
      <c r="C130" s="1486"/>
      <c r="D130" s="1066" t="s">
        <v>940</v>
      </c>
      <c r="E130" s="306">
        <v>0</v>
      </c>
      <c r="F130" s="855">
        <f t="shared" si="21"/>
        <v>1881</v>
      </c>
      <c r="G130" s="872"/>
      <c r="H130" s="873"/>
      <c r="I130" s="873">
        <v>1881</v>
      </c>
      <c r="J130" s="873"/>
      <c r="K130" s="873"/>
      <c r="L130" s="873"/>
      <c r="M130" s="873"/>
      <c r="N130" s="873"/>
      <c r="O130" s="873"/>
      <c r="P130" s="873"/>
      <c r="Q130" s="873"/>
      <c r="R130" s="874"/>
      <c r="S130" s="875"/>
    </row>
    <row r="131" spans="1:19" ht="15">
      <c r="A131" s="1470" t="s">
        <v>118</v>
      </c>
      <c r="B131" s="1472" t="s">
        <v>190</v>
      </c>
      <c r="C131" s="1482" t="s">
        <v>191</v>
      </c>
      <c r="D131" s="814" t="s">
        <v>4</v>
      </c>
      <c r="E131" s="1138">
        <v>0</v>
      </c>
      <c r="F131" s="308">
        <f aca="true" t="shared" si="42" ref="F131:F166">SUM(G131:S131)</f>
        <v>5900</v>
      </c>
      <c r="G131" s="779"/>
      <c r="H131" s="833"/>
      <c r="I131" s="833"/>
      <c r="J131" s="833"/>
      <c r="K131" s="833">
        <v>5900</v>
      </c>
      <c r="L131" s="833"/>
      <c r="M131" s="833"/>
      <c r="N131" s="833"/>
      <c r="O131" s="833"/>
      <c r="P131" s="833"/>
      <c r="Q131" s="833"/>
      <c r="R131" s="831"/>
      <c r="S131" s="832"/>
    </row>
    <row r="132" spans="1:19" ht="15">
      <c r="A132" s="1465"/>
      <c r="B132" s="1468"/>
      <c r="C132" s="1483"/>
      <c r="D132" s="814" t="s">
        <v>892</v>
      </c>
      <c r="E132" s="1138">
        <v>0</v>
      </c>
      <c r="F132" s="815">
        <f aca="true" t="shared" si="43" ref="F132">SUM(G132:S132)</f>
        <v>0</v>
      </c>
      <c r="G132" s="779"/>
      <c r="H132" s="833"/>
      <c r="I132" s="833"/>
      <c r="J132" s="833"/>
      <c r="K132" s="833"/>
      <c r="L132" s="833"/>
      <c r="M132" s="833"/>
      <c r="N132" s="833"/>
      <c r="O132" s="833"/>
      <c r="P132" s="833"/>
      <c r="Q132" s="833"/>
      <c r="R132" s="831"/>
      <c r="S132" s="832"/>
    </row>
    <row r="133" spans="1:19" ht="15.75" thickBot="1">
      <c r="A133" s="1465"/>
      <c r="B133" s="1468"/>
      <c r="C133" s="1483"/>
      <c r="D133" s="1117" t="s">
        <v>940</v>
      </c>
      <c r="E133" s="1133">
        <v>0</v>
      </c>
      <c r="F133" s="1139">
        <f t="shared" si="42"/>
        <v>0</v>
      </c>
      <c r="G133" s="1118"/>
      <c r="H133" s="1119"/>
      <c r="I133" s="1119"/>
      <c r="J133" s="1119"/>
      <c r="K133" s="1119"/>
      <c r="L133" s="1119"/>
      <c r="M133" s="1119"/>
      <c r="N133" s="1119"/>
      <c r="O133" s="1119"/>
      <c r="P133" s="1119"/>
      <c r="Q133" s="1119"/>
      <c r="R133" s="1120"/>
      <c r="S133" s="1121"/>
    </row>
    <row r="134" spans="1:19" ht="15">
      <c r="A134" s="1476" t="s">
        <v>121</v>
      </c>
      <c r="B134" s="1479" t="s">
        <v>941</v>
      </c>
      <c r="C134" s="1488" t="s">
        <v>942</v>
      </c>
      <c r="D134" s="1130" t="s">
        <v>4</v>
      </c>
      <c r="E134" s="1134"/>
      <c r="F134" s="308">
        <f t="shared" si="42"/>
        <v>0</v>
      </c>
      <c r="G134" s="867"/>
      <c r="H134" s="1122"/>
      <c r="I134" s="1122"/>
      <c r="J134" s="1122"/>
      <c r="K134" s="1122"/>
      <c r="L134" s="1122"/>
      <c r="M134" s="1122"/>
      <c r="N134" s="1122"/>
      <c r="O134" s="1122"/>
      <c r="P134" s="1122"/>
      <c r="Q134" s="1122"/>
      <c r="R134" s="1123"/>
      <c r="S134" s="1124"/>
    </row>
    <row r="135" spans="1:19" ht="15">
      <c r="A135" s="1477"/>
      <c r="B135" s="1480"/>
      <c r="C135" s="1489"/>
      <c r="D135" s="1131" t="s">
        <v>892</v>
      </c>
      <c r="E135" s="1135"/>
      <c r="F135" s="1140">
        <f t="shared" si="42"/>
        <v>0</v>
      </c>
      <c r="G135" s="864"/>
      <c r="H135" s="1115"/>
      <c r="I135" s="1115"/>
      <c r="J135" s="1115"/>
      <c r="K135" s="1115"/>
      <c r="L135" s="1115"/>
      <c r="M135" s="1115"/>
      <c r="N135" s="1115"/>
      <c r="O135" s="1115"/>
      <c r="P135" s="1115"/>
      <c r="Q135" s="1115"/>
      <c r="R135" s="1116"/>
      <c r="S135" s="1125"/>
    </row>
    <row r="136" spans="1:19" ht="15.75" thickBot="1">
      <c r="A136" s="1478"/>
      <c r="B136" s="1481"/>
      <c r="C136" s="1490"/>
      <c r="D136" s="1132" t="s">
        <v>940</v>
      </c>
      <c r="E136" s="1136">
        <v>3275</v>
      </c>
      <c r="F136" s="1139">
        <f t="shared" si="42"/>
        <v>3559</v>
      </c>
      <c r="G136" s="1137"/>
      <c r="H136" s="1126"/>
      <c r="I136" s="1126"/>
      <c r="J136" s="1126">
        <v>277</v>
      </c>
      <c r="K136" s="1126">
        <v>3282</v>
      </c>
      <c r="L136" s="1126"/>
      <c r="M136" s="1126"/>
      <c r="N136" s="1126"/>
      <c r="O136" s="1126"/>
      <c r="P136" s="1126"/>
      <c r="Q136" s="1126"/>
      <c r="R136" s="1127"/>
      <c r="S136" s="1128"/>
    </row>
    <row r="137" spans="1:19" ht="15">
      <c r="A137" s="1464" t="s">
        <v>121</v>
      </c>
      <c r="B137" s="1468" t="s">
        <v>192</v>
      </c>
      <c r="C137" s="1485" t="s">
        <v>193</v>
      </c>
      <c r="D137" s="1129" t="s">
        <v>4</v>
      </c>
      <c r="E137" s="308">
        <v>42000</v>
      </c>
      <c r="F137" s="815">
        <f t="shared" si="42"/>
        <v>63000</v>
      </c>
      <c r="G137" s="867"/>
      <c r="H137" s="868"/>
      <c r="I137" s="868">
        <v>53000</v>
      </c>
      <c r="J137" s="868"/>
      <c r="K137" s="868"/>
      <c r="L137" s="868"/>
      <c r="M137" s="868"/>
      <c r="N137" s="868">
        <v>10000</v>
      </c>
      <c r="O137" s="868"/>
      <c r="P137" s="868"/>
      <c r="Q137" s="868"/>
      <c r="R137" s="869"/>
      <c r="S137" s="870"/>
    </row>
    <row r="138" spans="1:19" ht="15">
      <c r="A138" s="1465"/>
      <c r="B138" s="1468"/>
      <c r="C138" s="1483"/>
      <c r="D138" s="814" t="s">
        <v>892</v>
      </c>
      <c r="E138" s="782">
        <v>42000</v>
      </c>
      <c r="F138" s="815">
        <f aca="true" t="shared" si="44" ref="F138">SUM(G138:S138)</f>
        <v>61281</v>
      </c>
      <c r="G138" s="779"/>
      <c r="H138" s="833"/>
      <c r="I138" s="833">
        <v>53000</v>
      </c>
      <c r="J138" s="833"/>
      <c r="K138" s="833"/>
      <c r="L138" s="833"/>
      <c r="M138" s="833"/>
      <c r="N138" s="833">
        <v>8281</v>
      </c>
      <c r="O138" s="833"/>
      <c r="P138" s="833"/>
      <c r="Q138" s="833"/>
      <c r="R138" s="831"/>
      <c r="S138" s="832"/>
    </row>
    <row r="139" spans="1:19" ht="15.75" thickBot="1">
      <c r="A139" s="1466"/>
      <c r="B139" s="1469"/>
      <c r="C139" s="1486"/>
      <c r="D139" s="1066" t="s">
        <v>940</v>
      </c>
      <c r="E139" s="306">
        <v>42000</v>
      </c>
      <c r="F139" s="871">
        <f t="shared" si="42"/>
        <v>45271</v>
      </c>
      <c r="G139" s="872"/>
      <c r="H139" s="873"/>
      <c r="I139" s="873">
        <v>38000</v>
      </c>
      <c r="J139" s="873"/>
      <c r="K139" s="873"/>
      <c r="L139" s="873"/>
      <c r="M139" s="873"/>
      <c r="N139" s="873">
        <v>7271</v>
      </c>
      <c r="O139" s="873"/>
      <c r="P139" s="873"/>
      <c r="Q139" s="873"/>
      <c r="R139" s="874"/>
      <c r="S139" s="875"/>
    </row>
    <row r="140" spans="1:19" ht="15">
      <c r="A140" s="1470" t="s">
        <v>121</v>
      </c>
      <c r="B140" s="1472" t="s">
        <v>194</v>
      </c>
      <c r="C140" s="1482" t="s">
        <v>195</v>
      </c>
      <c r="D140" s="814" t="s">
        <v>4</v>
      </c>
      <c r="E140" s="782">
        <v>0</v>
      </c>
      <c r="F140" s="815">
        <f t="shared" si="42"/>
        <v>10000</v>
      </c>
      <c r="G140" s="779"/>
      <c r="H140" s="833"/>
      <c r="I140" s="833"/>
      <c r="J140" s="833"/>
      <c r="K140" s="833">
        <v>10000</v>
      </c>
      <c r="L140" s="833"/>
      <c r="M140" s="833"/>
      <c r="N140" s="833"/>
      <c r="O140" s="833"/>
      <c r="P140" s="833"/>
      <c r="Q140" s="833"/>
      <c r="R140" s="831"/>
      <c r="S140" s="832"/>
    </row>
    <row r="141" spans="1:19" ht="15">
      <c r="A141" s="1465"/>
      <c r="B141" s="1468"/>
      <c r="C141" s="1483"/>
      <c r="D141" s="814" t="s">
        <v>892</v>
      </c>
      <c r="E141" s="782">
        <v>0</v>
      </c>
      <c r="F141" s="815">
        <f aca="true" t="shared" si="45" ref="F141">SUM(G141:S141)</f>
        <v>0</v>
      </c>
      <c r="G141" s="779"/>
      <c r="H141" s="833"/>
      <c r="I141" s="833"/>
      <c r="J141" s="833"/>
      <c r="K141" s="833"/>
      <c r="L141" s="833"/>
      <c r="M141" s="833"/>
      <c r="N141" s="833"/>
      <c r="O141" s="833"/>
      <c r="P141" s="833"/>
      <c r="Q141" s="833"/>
      <c r="R141" s="831"/>
      <c r="S141" s="832"/>
    </row>
    <row r="142" spans="1:19" ht="15.75" thickBot="1">
      <c r="A142" s="1471"/>
      <c r="B142" s="1473"/>
      <c r="C142" s="1484"/>
      <c r="D142" s="1066" t="s">
        <v>940</v>
      </c>
      <c r="E142" s="782">
        <v>0</v>
      </c>
      <c r="F142" s="815">
        <f t="shared" si="42"/>
        <v>0</v>
      </c>
      <c r="G142" s="779"/>
      <c r="H142" s="833"/>
      <c r="I142" s="833"/>
      <c r="J142" s="833"/>
      <c r="K142" s="833"/>
      <c r="L142" s="833"/>
      <c r="M142" s="833"/>
      <c r="N142" s="833"/>
      <c r="O142" s="833"/>
      <c r="P142" s="833"/>
      <c r="Q142" s="833"/>
      <c r="R142" s="831"/>
      <c r="S142" s="832"/>
    </row>
    <row r="143" spans="1:19" ht="15">
      <c r="A143" s="1464" t="s">
        <v>121</v>
      </c>
      <c r="B143" s="1467" t="s">
        <v>196</v>
      </c>
      <c r="C143" s="1485" t="s">
        <v>197</v>
      </c>
      <c r="D143" s="866" t="s">
        <v>4</v>
      </c>
      <c r="E143" s="308">
        <v>0</v>
      </c>
      <c r="F143" s="308">
        <f t="shared" si="42"/>
        <v>52844</v>
      </c>
      <c r="G143" s="867">
        <v>600</v>
      </c>
      <c r="H143" s="868">
        <v>244</v>
      </c>
      <c r="I143" s="868"/>
      <c r="J143" s="868"/>
      <c r="K143" s="868">
        <v>52000</v>
      </c>
      <c r="L143" s="868"/>
      <c r="M143" s="868"/>
      <c r="N143" s="868"/>
      <c r="O143" s="868"/>
      <c r="P143" s="868"/>
      <c r="Q143" s="868"/>
      <c r="R143" s="869"/>
      <c r="S143" s="870"/>
    </row>
    <row r="144" spans="1:19" ht="15">
      <c r="A144" s="1465"/>
      <c r="B144" s="1468"/>
      <c r="C144" s="1483"/>
      <c r="D144" s="814" t="s">
        <v>892</v>
      </c>
      <c r="E144" s="782">
        <v>1452</v>
      </c>
      <c r="F144" s="815">
        <f aca="true" t="shared" si="46" ref="F144">SUM(G144:S144)</f>
        <v>70258</v>
      </c>
      <c r="G144" s="779">
        <v>520</v>
      </c>
      <c r="H144" s="833">
        <v>224</v>
      </c>
      <c r="I144" s="833">
        <v>7000</v>
      </c>
      <c r="J144" s="833"/>
      <c r="K144" s="833">
        <v>62514</v>
      </c>
      <c r="L144" s="833"/>
      <c r="M144" s="833"/>
      <c r="N144" s="833"/>
      <c r="O144" s="833"/>
      <c r="P144" s="833"/>
      <c r="Q144" s="833"/>
      <c r="R144" s="831"/>
      <c r="S144" s="832"/>
    </row>
    <row r="145" spans="1:19" ht="15.75" thickBot="1">
      <c r="A145" s="1466"/>
      <c r="B145" s="1469"/>
      <c r="C145" s="1486"/>
      <c r="D145" s="1066" t="s">
        <v>940</v>
      </c>
      <c r="E145" s="306">
        <v>0</v>
      </c>
      <c r="F145" s="871">
        <f t="shared" si="42"/>
        <v>75695</v>
      </c>
      <c r="G145" s="872">
        <v>520</v>
      </c>
      <c r="H145" s="873">
        <v>54</v>
      </c>
      <c r="I145" s="873">
        <v>8070</v>
      </c>
      <c r="J145" s="873"/>
      <c r="K145" s="873">
        <v>67051</v>
      </c>
      <c r="L145" s="873"/>
      <c r="M145" s="873"/>
      <c r="N145" s="873"/>
      <c r="O145" s="873"/>
      <c r="P145" s="873"/>
      <c r="Q145" s="873"/>
      <c r="R145" s="874"/>
      <c r="S145" s="875"/>
    </row>
    <row r="146" spans="1:19" ht="15">
      <c r="A146" s="1470" t="s">
        <v>121</v>
      </c>
      <c r="B146" s="1472" t="s">
        <v>200</v>
      </c>
      <c r="C146" s="1482" t="s">
        <v>201</v>
      </c>
      <c r="D146" s="814" t="s">
        <v>4</v>
      </c>
      <c r="E146" s="782">
        <v>2045000</v>
      </c>
      <c r="F146" s="815">
        <f aca="true" t="shared" si="47" ref="F146:F148">SUM(G146:S146)</f>
        <v>0</v>
      </c>
      <c r="G146" s="779"/>
      <c r="H146" s="833"/>
      <c r="I146" s="833"/>
      <c r="J146" s="833"/>
      <c r="K146" s="833"/>
      <c r="L146" s="833"/>
      <c r="M146" s="833"/>
      <c r="N146" s="833"/>
      <c r="O146" s="833"/>
      <c r="P146" s="833"/>
      <c r="Q146" s="833"/>
      <c r="R146" s="831"/>
      <c r="S146" s="832"/>
    </row>
    <row r="147" spans="1:19" ht="15">
      <c r="A147" s="1465"/>
      <c r="B147" s="1468"/>
      <c r="C147" s="1483"/>
      <c r="D147" s="814" t="s">
        <v>892</v>
      </c>
      <c r="E147" s="782">
        <v>2045000</v>
      </c>
      <c r="F147" s="815">
        <f aca="true" t="shared" si="48" ref="F147">SUM(G147:S147)</f>
        <v>0</v>
      </c>
      <c r="G147" s="779"/>
      <c r="H147" s="833"/>
      <c r="I147" s="833"/>
      <c r="J147" s="833"/>
      <c r="K147" s="833"/>
      <c r="L147" s="833"/>
      <c r="M147" s="833"/>
      <c r="N147" s="833"/>
      <c r="O147" s="833"/>
      <c r="P147" s="833"/>
      <c r="Q147" s="833"/>
      <c r="R147" s="831"/>
      <c r="S147" s="832"/>
    </row>
    <row r="148" spans="1:19" ht="15.75" thickBot="1">
      <c r="A148" s="1465"/>
      <c r="B148" s="1468"/>
      <c r="C148" s="1483"/>
      <c r="D148" s="1066" t="s">
        <v>940</v>
      </c>
      <c r="E148" s="783">
        <v>2206263</v>
      </c>
      <c r="F148" s="855">
        <f t="shared" si="47"/>
        <v>0</v>
      </c>
      <c r="G148" s="856"/>
      <c r="H148" s="857"/>
      <c r="I148" s="857"/>
      <c r="J148" s="857"/>
      <c r="K148" s="857"/>
      <c r="L148" s="857"/>
      <c r="M148" s="857"/>
      <c r="N148" s="857"/>
      <c r="O148" s="857"/>
      <c r="P148" s="857"/>
      <c r="Q148" s="857"/>
      <c r="R148" s="858"/>
      <c r="S148" s="859"/>
    </row>
    <row r="149" spans="1:19" ht="15" customHeight="1">
      <c r="A149" s="1464" t="s">
        <v>115</v>
      </c>
      <c r="B149" s="1467" t="s">
        <v>198</v>
      </c>
      <c r="C149" s="1485" t="s">
        <v>199</v>
      </c>
      <c r="D149" s="866" t="s">
        <v>4</v>
      </c>
      <c r="E149" s="308">
        <v>0</v>
      </c>
      <c r="F149" s="308">
        <f t="shared" si="42"/>
        <v>158112</v>
      </c>
      <c r="G149" s="867"/>
      <c r="H149" s="868"/>
      <c r="I149" s="868">
        <v>7045</v>
      </c>
      <c r="J149" s="868"/>
      <c r="K149" s="868"/>
      <c r="L149" s="868"/>
      <c r="M149" s="868"/>
      <c r="N149" s="868"/>
      <c r="O149" s="868"/>
      <c r="P149" s="868"/>
      <c r="Q149" s="868">
        <v>151067</v>
      </c>
      <c r="R149" s="869"/>
      <c r="S149" s="870"/>
    </row>
    <row r="150" spans="1:19" ht="15">
      <c r="A150" s="1465"/>
      <c r="B150" s="1468"/>
      <c r="C150" s="1483"/>
      <c r="D150" s="814" t="s">
        <v>892</v>
      </c>
      <c r="E150" s="782">
        <v>1500000</v>
      </c>
      <c r="F150" s="815">
        <f aca="true" t="shared" si="49" ref="F150">SUM(G150:S150)</f>
        <v>1658112</v>
      </c>
      <c r="G150" s="779"/>
      <c r="H150" s="833"/>
      <c r="I150" s="833">
        <v>7045</v>
      </c>
      <c r="J150" s="833"/>
      <c r="K150" s="833"/>
      <c r="L150" s="833"/>
      <c r="M150" s="833"/>
      <c r="N150" s="833"/>
      <c r="O150" s="833"/>
      <c r="P150" s="833"/>
      <c r="Q150" s="833">
        <v>1651067</v>
      </c>
      <c r="R150" s="831"/>
      <c r="S150" s="832"/>
    </row>
    <row r="151" spans="1:19" ht="15.75" thickBot="1">
      <c r="A151" s="1466"/>
      <c r="B151" s="1469"/>
      <c r="C151" s="1486"/>
      <c r="D151" s="1066" t="s">
        <v>940</v>
      </c>
      <c r="E151" s="306">
        <v>747000</v>
      </c>
      <c r="F151" s="871">
        <f t="shared" si="42"/>
        <v>860132</v>
      </c>
      <c r="G151" s="872"/>
      <c r="H151" s="873"/>
      <c r="I151" s="873">
        <v>6065</v>
      </c>
      <c r="J151" s="873"/>
      <c r="K151" s="873"/>
      <c r="L151" s="873"/>
      <c r="M151" s="873"/>
      <c r="N151" s="873"/>
      <c r="O151" s="873"/>
      <c r="P151" s="873"/>
      <c r="Q151" s="873">
        <v>854067</v>
      </c>
      <c r="R151" s="874"/>
      <c r="S151" s="875"/>
    </row>
    <row r="152" spans="1:19" ht="15">
      <c r="A152" s="1465" t="s">
        <v>115</v>
      </c>
      <c r="B152" s="1468" t="s">
        <v>116</v>
      </c>
      <c r="C152" s="1483" t="s">
        <v>211</v>
      </c>
      <c r="D152" s="814" t="s">
        <v>4</v>
      </c>
      <c r="E152" s="815">
        <v>0</v>
      </c>
      <c r="F152" s="815">
        <f t="shared" si="42"/>
        <v>165000</v>
      </c>
      <c r="G152" s="864"/>
      <c r="H152" s="865"/>
      <c r="I152" s="865"/>
      <c r="J152" s="865"/>
      <c r="K152" s="865"/>
      <c r="L152" s="865">
        <v>115000</v>
      </c>
      <c r="M152" s="865"/>
      <c r="N152" s="865"/>
      <c r="O152" s="865"/>
      <c r="P152" s="865">
        <v>50000</v>
      </c>
      <c r="Q152" s="865"/>
      <c r="R152" s="818"/>
      <c r="S152" s="829"/>
    </row>
    <row r="153" spans="1:19" ht="15">
      <c r="A153" s="1465"/>
      <c r="B153" s="1468"/>
      <c r="C153" s="1483"/>
      <c r="D153" s="814" t="s">
        <v>892</v>
      </c>
      <c r="E153" s="782">
        <v>0</v>
      </c>
      <c r="F153" s="815">
        <f aca="true" t="shared" si="50" ref="F153">SUM(G153:S153)</f>
        <v>225078</v>
      </c>
      <c r="G153" s="779"/>
      <c r="H153" s="833"/>
      <c r="I153" s="833"/>
      <c r="J153" s="833"/>
      <c r="K153" s="833"/>
      <c r="L153" s="833">
        <v>225078</v>
      </c>
      <c r="M153" s="833"/>
      <c r="N153" s="833"/>
      <c r="O153" s="833"/>
      <c r="P153" s="833"/>
      <c r="Q153" s="833"/>
      <c r="R153" s="831"/>
      <c r="S153" s="832"/>
    </row>
    <row r="154" spans="1:19" ht="15.75" thickBot="1">
      <c r="A154" s="1465"/>
      <c r="B154" s="1468"/>
      <c r="C154" s="1483"/>
      <c r="D154" s="814" t="s">
        <v>916</v>
      </c>
      <c r="E154" s="783">
        <v>0</v>
      </c>
      <c r="F154" s="855">
        <f t="shared" si="42"/>
        <v>216423</v>
      </c>
      <c r="G154" s="856"/>
      <c r="H154" s="857"/>
      <c r="I154" s="857"/>
      <c r="J154" s="857"/>
      <c r="K154" s="857"/>
      <c r="L154" s="857">
        <v>216423</v>
      </c>
      <c r="M154" s="857"/>
      <c r="N154" s="857"/>
      <c r="O154" s="857"/>
      <c r="P154" s="857"/>
      <c r="Q154" s="857"/>
      <c r="R154" s="858"/>
      <c r="S154" s="859"/>
    </row>
    <row r="155" spans="1:19" ht="15.75" thickTop="1">
      <c r="A155" s="1497"/>
      <c r="B155" s="1505"/>
      <c r="C155" s="1500" t="s">
        <v>70</v>
      </c>
      <c r="D155" s="860" t="s">
        <v>4</v>
      </c>
      <c r="E155" s="824">
        <f>E5+E8+E11+E14+E17+E20+E23+E26+E29+E32+E35+E38+E41+E44+E47+E50+E53+E56+E59+E62+E65+E68+E71+E74+E77+E80+E83+E86+E89+E92+E95+E98+E101+E104+E107+E110+E113+E116+E119+E122+E125+E128+E131+E137+E140+E143+E146+E149+E152</f>
        <v>7277890</v>
      </c>
      <c r="F155" s="824">
        <f t="shared" si="42"/>
        <v>7277890</v>
      </c>
      <c r="G155" s="861">
        <f>G5+G8+G11+G14+G17+G20+G23+G26+G29+G32+G35+G38+G41+G44+G47+G50+G53+G56+G59+G62+G65+G68+G71+G74+G77+G80+G83+G86+G89+G92+G95+G98+G101+G104+G107+G110+G113+G116+G119+G122+G125+G128+G131+G137+G140+G143+G146+G149+G152</f>
        <v>215364</v>
      </c>
      <c r="H155" s="862">
        <f aca="true" t="shared" si="51" ref="H155:S155">H5+H8+H11+H14+H17+H20+H23+H26+H29+H32+H35+H38+H41+H44+H47+H50+H53+H56+H59+H62+H65+H68+H71+H74+H77+H80+H83+H86+H89+H92+H95+H98+H101+H104+H107+H110+H113+H116+H119+H122+H125+H128+H131+H137+H140+H143+H146+H149+H152</f>
        <v>41189</v>
      </c>
      <c r="I155" s="862">
        <f t="shared" si="51"/>
        <v>1344936</v>
      </c>
      <c r="J155" s="862">
        <f t="shared" si="51"/>
        <v>974152</v>
      </c>
      <c r="K155" s="862">
        <f t="shared" si="51"/>
        <v>67900</v>
      </c>
      <c r="L155" s="862">
        <f t="shared" si="51"/>
        <v>115000</v>
      </c>
      <c r="M155" s="862">
        <f t="shared" si="51"/>
        <v>1833212</v>
      </c>
      <c r="N155" s="862">
        <f t="shared" si="51"/>
        <v>500095</v>
      </c>
      <c r="O155" s="862">
        <f t="shared" si="51"/>
        <v>6000</v>
      </c>
      <c r="P155" s="862">
        <f t="shared" si="51"/>
        <v>50000</v>
      </c>
      <c r="Q155" s="862">
        <f t="shared" si="51"/>
        <v>186067</v>
      </c>
      <c r="R155" s="862">
        <f t="shared" si="51"/>
        <v>1943975</v>
      </c>
      <c r="S155" s="863">
        <f t="shared" si="51"/>
        <v>0</v>
      </c>
    </row>
    <row r="156" spans="1:19" ht="15">
      <c r="A156" s="1492"/>
      <c r="B156" s="1495"/>
      <c r="C156" s="1501"/>
      <c r="D156" s="839" t="s">
        <v>803</v>
      </c>
      <c r="E156" s="782">
        <f>E6+E9+E12+E15+E18+E21+E24+E27+E30+E33+E36+E39+E42+E45+E48+E51+E54+E57+E60+E63+E66+E69+E72+E75+E78+E81+E84+E87+E90+E93+E96+E99+E102+E105+E108+E111+E114+E117+E120+E123+E126+E129+E132+E138+E141+E144+E147+E150+E153</f>
        <v>11012493</v>
      </c>
      <c r="F156" s="782">
        <f aca="true" t="shared" si="52" ref="F156">SUM(G156:S156)</f>
        <v>11012493</v>
      </c>
      <c r="G156" s="780">
        <f>G6+G9+G12+G15+G18+G21+G24+G27+G30+G33+G36+G39+G42+G45+G48+G51+G54+G57+G60+G63+G66+G69+G72+G75+G78+G81+G84+G87+G90+G93+G96+G99+G102+G105+G108+G111+G114+G117+G120+G123+G126+G129+G132+G138+G141+G144+G147+G150+G153</f>
        <v>396166</v>
      </c>
      <c r="H156" s="840">
        <f aca="true" t="shared" si="53" ref="H156:S156">H6+H9+H12+H15+H18+H21+H24+H27+H30+H33+H36+H39+H42+H45+H48+H51+H54+H57+H60+H63+H66+H69+H72+H75+H78+H81+H84+H87+H90+H93+H96+H99+H102+H105+H108+H111+H114+H117+H120+H123+H126+H129+H132+H138+H141+H144+H147+H150+H153</f>
        <v>77017</v>
      </c>
      <c r="I156" s="840">
        <f t="shared" si="53"/>
        <v>1666019</v>
      </c>
      <c r="J156" s="840">
        <f t="shared" si="53"/>
        <v>1131046</v>
      </c>
      <c r="K156" s="840">
        <f t="shared" si="53"/>
        <v>62514</v>
      </c>
      <c r="L156" s="840">
        <f t="shared" si="53"/>
        <v>225078</v>
      </c>
      <c r="M156" s="840">
        <f t="shared" si="53"/>
        <v>3038598</v>
      </c>
      <c r="N156" s="840">
        <f t="shared" si="53"/>
        <v>713337</v>
      </c>
      <c r="O156" s="840">
        <f t="shared" si="53"/>
        <v>6990</v>
      </c>
      <c r="P156" s="840">
        <f t="shared" si="53"/>
        <v>0</v>
      </c>
      <c r="Q156" s="840">
        <f t="shared" si="53"/>
        <v>1694503</v>
      </c>
      <c r="R156" s="840">
        <f t="shared" si="53"/>
        <v>2001225</v>
      </c>
      <c r="S156" s="841">
        <f t="shared" si="53"/>
        <v>0</v>
      </c>
    </row>
    <row r="157" spans="1:19" ht="15.75" thickBot="1">
      <c r="A157" s="1493"/>
      <c r="B157" s="1496"/>
      <c r="C157" s="1502"/>
      <c r="D157" s="1067" t="s">
        <v>940</v>
      </c>
      <c r="E157" s="851">
        <f>E7+E10+E13+E16+E19+E22+E25+E28+E31+E34+E37+E40+E43+E46+E49+E52+E55+E58+E61+E64+E67+E70+E73+E76+E79+E82+E85+E88+E91+E94+E97+E100+E103+E106+E109+E112+E115+E118+E121+E124+E127+E130+E133+E136+E139+E142+E145+E148+E151+E154</f>
        <v>9611765</v>
      </c>
      <c r="F157" s="851">
        <f aca="true" t="shared" si="54" ref="F157:S157">F7+F10+F13+F16+F19+F22+F25+F28+F31+F34+F37+F40+F43+F46+F49+F52+F55+F58+F61+F64+F67+F70+F73+F76+F79+F82+F85+F88+F91+F94+F97+F100+F103+F106+F109+F112+F115+F118+F121+F124+F127+F130+F133+F136+F139+F142+F145+F148+F151+F154</f>
        <v>9611765</v>
      </c>
      <c r="G157" s="851">
        <f t="shared" si="54"/>
        <v>344976</v>
      </c>
      <c r="H157" s="851">
        <f t="shared" si="54"/>
        <v>72953</v>
      </c>
      <c r="I157" s="851">
        <f t="shared" si="54"/>
        <v>1188591</v>
      </c>
      <c r="J157" s="851">
        <f t="shared" si="54"/>
        <v>1166179</v>
      </c>
      <c r="K157" s="851">
        <f t="shared" si="54"/>
        <v>70333</v>
      </c>
      <c r="L157" s="851">
        <f t="shared" si="54"/>
        <v>216423</v>
      </c>
      <c r="M157" s="851">
        <f t="shared" si="54"/>
        <v>3124466</v>
      </c>
      <c r="N157" s="851">
        <f t="shared" si="54"/>
        <v>730293</v>
      </c>
      <c r="O157" s="851">
        <f t="shared" si="54"/>
        <v>2450</v>
      </c>
      <c r="P157" s="851">
        <f t="shared" si="54"/>
        <v>0</v>
      </c>
      <c r="Q157" s="851">
        <f t="shared" si="54"/>
        <v>897503</v>
      </c>
      <c r="R157" s="851">
        <f t="shared" si="54"/>
        <v>1797598</v>
      </c>
      <c r="S157" s="851">
        <f t="shared" si="54"/>
        <v>0</v>
      </c>
    </row>
    <row r="158" spans="1:19" ht="15.75" thickTop="1">
      <c r="A158" s="1492"/>
      <c r="B158" s="1495"/>
      <c r="C158" s="1501" t="s">
        <v>215</v>
      </c>
      <c r="D158" s="844" t="s">
        <v>4</v>
      </c>
      <c r="E158" s="815">
        <f>E14+E17+E20+E44+E47+E50+E53+E56+E59+E65+E68+E71+E77+E80+E83+E86+E89+E92+E95+E98+E101+E113+E137+E140+E143+E146</f>
        <v>4425843</v>
      </c>
      <c r="F158" s="815">
        <f t="shared" si="42"/>
        <v>3559428</v>
      </c>
      <c r="G158" s="845">
        <f aca="true" t="shared" si="55" ref="G158:S158">G14+G17+G20+G44+G47+G50+G53+G56+G59+G65+G68+G71+G77+G80+G83+G86+G89+G92+G95+G98+G101+G113+G137+G140+G143+G146</f>
        <v>121831</v>
      </c>
      <c r="H158" s="846">
        <f t="shared" si="55"/>
        <v>17552</v>
      </c>
      <c r="I158" s="846">
        <f t="shared" si="55"/>
        <v>658470</v>
      </c>
      <c r="J158" s="846">
        <f t="shared" si="55"/>
        <v>437928</v>
      </c>
      <c r="K158" s="846">
        <f t="shared" si="55"/>
        <v>62000</v>
      </c>
      <c r="L158" s="846">
        <f t="shared" si="55"/>
        <v>0</v>
      </c>
      <c r="M158" s="846">
        <f t="shared" si="55"/>
        <v>1760552</v>
      </c>
      <c r="N158" s="846">
        <f t="shared" si="55"/>
        <v>495095</v>
      </c>
      <c r="O158" s="846">
        <f t="shared" si="55"/>
        <v>6000</v>
      </c>
      <c r="P158" s="846">
        <f t="shared" si="55"/>
        <v>0</v>
      </c>
      <c r="Q158" s="846">
        <f t="shared" si="55"/>
        <v>0</v>
      </c>
      <c r="R158" s="846">
        <f t="shared" si="55"/>
        <v>0</v>
      </c>
      <c r="S158" s="847">
        <f t="shared" si="55"/>
        <v>0</v>
      </c>
    </row>
    <row r="159" spans="1:19" ht="15">
      <c r="A159" s="1492"/>
      <c r="B159" s="1495"/>
      <c r="C159" s="1501"/>
      <c r="D159" s="839" t="s">
        <v>803</v>
      </c>
      <c r="E159" s="782">
        <f>E15+E18+E21+E45+E48+E51+E54+E57+E60+E66+E69+E72+E78+E81+E84+E87+E90+E93+E96+E99+E102+E114+E138+E141+E144+E147</f>
        <v>6226176</v>
      </c>
      <c r="F159" s="782">
        <f aca="true" t="shared" si="56" ref="F159">SUM(G159:S159)</f>
        <v>5705879</v>
      </c>
      <c r="G159" s="780">
        <f aca="true" t="shared" si="57" ref="G159:S159">G15+G18+G21+G45+G48+G51+G54+G57+G60+G66+G69+G72+G78+G81+G84+G87+G90+G93+G96+G99+G102+G114+G138+G141+G144+G147</f>
        <v>302750</v>
      </c>
      <c r="H159" s="840">
        <f t="shared" si="57"/>
        <v>53636</v>
      </c>
      <c r="I159" s="840">
        <f t="shared" si="57"/>
        <v>1106208</v>
      </c>
      <c r="J159" s="840">
        <f t="shared" si="57"/>
        <v>430618</v>
      </c>
      <c r="K159" s="840">
        <f t="shared" si="57"/>
        <v>62514</v>
      </c>
      <c r="L159" s="840">
        <f t="shared" si="57"/>
        <v>0</v>
      </c>
      <c r="M159" s="840">
        <f t="shared" si="57"/>
        <v>3035026</v>
      </c>
      <c r="N159" s="840">
        <f t="shared" si="57"/>
        <v>708337</v>
      </c>
      <c r="O159" s="840">
        <f t="shared" si="57"/>
        <v>6790</v>
      </c>
      <c r="P159" s="840">
        <f t="shared" si="57"/>
        <v>0</v>
      </c>
      <c r="Q159" s="840">
        <f t="shared" si="57"/>
        <v>0</v>
      </c>
      <c r="R159" s="840">
        <f t="shared" si="57"/>
        <v>0</v>
      </c>
      <c r="S159" s="841">
        <f t="shared" si="57"/>
        <v>0</v>
      </c>
    </row>
    <row r="160" spans="1:19" ht="15.75" thickBot="1">
      <c r="A160" s="1498"/>
      <c r="B160" s="1499"/>
      <c r="C160" s="1503"/>
      <c r="D160" s="844" t="s">
        <v>940</v>
      </c>
      <c r="E160" s="782">
        <f>E16+E19+E22+E46+E49+E52+E55+E58+E61+E67+E70+E73+E79+E82+E85+E88+E91+E94+E97+E100+E103+E115+E136+E139+E142+E145+E148</f>
        <v>5584453</v>
      </c>
      <c r="F160" s="782">
        <f aca="true" t="shared" si="58" ref="F160:S160">F16+F19+F22+F46+F49+F52+F55+F58+F61+F67+F70+F73+F79+F82+F85+F88+F91+F94+F97+F100+F103+F115+F136+F139+F142+F145+F148</f>
        <v>5753097</v>
      </c>
      <c r="G160" s="782">
        <f t="shared" si="58"/>
        <v>253807</v>
      </c>
      <c r="H160" s="782">
        <f t="shared" si="58"/>
        <v>49002</v>
      </c>
      <c r="I160" s="782">
        <f t="shared" si="58"/>
        <v>1078088</v>
      </c>
      <c r="J160" s="782">
        <f t="shared" si="58"/>
        <v>454044</v>
      </c>
      <c r="K160" s="782">
        <f t="shared" si="58"/>
        <v>70333</v>
      </c>
      <c r="L160" s="782">
        <f t="shared" si="58"/>
        <v>0</v>
      </c>
      <c r="M160" s="782">
        <f t="shared" si="58"/>
        <v>3119572</v>
      </c>
      <c r="N160" s="782">
        <f t="shared" si="58"/>
        <v>726001</v>
      </c>
      <c r="O160" s="782">
        <f t="shared" si="58"/>
        <v>2250</v>
      </c>
      <c r="P160" s="782">
        <f t="shared" si="58"/>
        <v>0</v>
      </c>
      <c r="Q160" s="782">
        <f t="shared" si="58"/>
        <v>0</v>
      </c>
      <c r="R160" s="782">
        <f t="shared" si="58"/>
        <v>0</v>
      </c>
      <c r="S160" s="782">
        <f t="shared" si="58"/>
        <v>0</v>
      </c>
    </row>
    <row r="161" spans="1:19" ht="15">
      <c r="A161" s="1491"/>
      <c r="B161" s="1494"/>
      <c r="C161" s="1504" t="s">
        <v>216</v>
      </c>
      <c r="D161" s="307" t="s">
        <v>4</v>
      </c>
      <c r="E161" s="308">
        <f>E11+E23+E26+E29+E32+E62+E74+E104+E107+E110+E116+E119+E122+E125+E128+E131</f>
        <v>2958</v>
      </c>
      <c r="F161" s="308">
        <f t="shared" si="42"/>
        <v>234977</v>
      </c>
      <c r="G161" s="836">
        <f aca="true" t="shared" si="59" ref="G161:S161">G11+G23+G26+G29+G32+G62+G74+G104+G107+G110+G116+G119+G122+G125+G128+G131</f>
        <v>20146</v>
      </c>
      <c r="H161" s="837">
        <f t="shared" si="59"/>
        <v>7249</v>
      </c>
      <c r="I161" s="837">
        <f t="shared" si="59"/>
        <v>32238</v>
      </c>
      <c r="J161" s="837">
        <f t="shared" si="59"/>
        <v>169444</v>
      </c>
      <c r="K161" s="837">
        <f t="shared" si="59"/>
        <v>5900</v>
      </c>
      <c r="L161" s="837">
        <f t="shared" si="59"/>
        <v>0</v>
      </c>
      <c r="M161" s="837">
        <f t="shared" si="59"/>
        <v>0</v>
      </c>
      <c r="N161" s="837">
        <f t="shared" si="59"/>
        <v>0</v>
      </c>
      <c r="O161" s="837">
        <f t="shared" si="59"/>
        <v>0</v>
      </c>
      <c r="P161" s="837">
        <f t="shared" si="59"/>
        <v>0</v>
      </c>
      <c r="Q161" s="837">
        <f t="shared" si="59"/>
        <v>0</v>
      </c>
      <c r="R161" s="837">
        <f t="shared" si="59"/>
        <v>0</v>
      </c>
      <c r="S161" s="838">
        <f t="shared" si="59"/>
        <v>0</v>
      </c>
    </row>
    <row r="162" spans="1:19" ht="15">
      <c r="A162" s="1492"/>
      <c r="B162" s="1495"/>
      <c r="C162" s="1501"/>
      <c r="D162" s="839" t="s">
        <v>803</v>
      </c>
      <c r="E162" s="782">
        <f>E12+E24+E27+E30+E33+E63+E75+E105+E108+E111+E117+E120+E123+E126+E129+E132</f>
        <v>17958</v>
      </c>
      <c r="F162" s="782">
        <f aca="true" t="shared" si="60" ref="F162">SUM(G162:S162)</f>
        <v>315544</v>
      </c>
      <c r="G162" s="780">
        <f aca="true" t="shared" si="61" ref="G162:S162">G12+G24+G27+G30+G33+G63+G75+G105+G108+G111+G117+G120+G123+G126+G129+G132</f>
        <v>22153</v>
      </c>
      <c r="H162" s="840">
        <f t="shared" si="61"/>
        <v>7741</v>
      </c>
      <c r="I162" s="840">
        <f t="shared" si="61"/>
        <v>35087</v>
      </c>
      <c r="J162" s="840">
        <f t="shared" si="61"/>
        <v>250353</v>
      </c>
      <c r="K162" s="840">
        <f t="shared" si="61"/>
        <v>0</v>
      </c>
      <c r="L162" s="840">
        <f t="shared" si="61"/>
        <v>0</v>
      </c>
      <c r="M162" s="840">
        <f t="shared" si="61"/>
        <v>10</v>
      </c>
      <c r="N162" s="840">
        <f t="shared" si="61"/>
        <v>0</v>
      </c>
      <c r="O162" s="840">
        <f t="shared" si="61"/>
        <v>200</v>
      </c>
      <c r="P162" s="840">
        <f t="shared" si="61"/>
        <v>0</v>
      </c>
      <c r="Q162" s="840">
        <f t="shared" si="61"/>
        <v>0</v>
      </c>
      <c r="R162" s="840">
        <f t="shared" si="61"/>
        <v>0</v>
      </c>
      <c r="S162" s="841">
        <f t="shared" si="61"/>
        <v>0</v>
      </c>
    </row>
    <row r="163" spans="1:19" ht="15.75" thickBot="1">
      <c r="A163" s="1498"/>
      <c r="B163" s="1499"/>
      <c r="C163" s="1503"/>
      <c r="D163" s="844" t="s">
        <v>940</v>
      </c>
      <c r="E163" s="306">
        <f>E13+E25+E28+E31+E34+E64+E76+E106+E109+E112+E118+E121+E124+E127+E130+E133</f>
        <v>3518</v>
      </c>
      <c r="F163" s="306">
        <f t="shared" si="42"/>
        <v>310732</v>
      </c>
      <c r="G163" s="781">
        <f aca="true" t="shared" si="62" ref="G163:S163">G13+G25+G28+G31+G34+G64+G76+G106+G109+G112+G118+G121+G124+G127+G130+G133</f>
        <v>19906</v>
      </c>
      <c r="H163" s="842">
        <f t="shared" si="62"/>
        <v>8311</v>
      </c>
      <c r="I163" s="842">
        <f t="shared" si="62"/>
        <v>25511</v>
      </c>
      <c r="J163" s="842">
        <f t="shared" si="62"/>
        <v>255794</v>
      </c>
      <c r="K163" s="842">
        <f t="shared" si="62"/>
        <v>0</v>
      </c>
      <c r="L163" s="842">
        <f t="shared" si="62"/>
        <v>0</v>
      </c>
      <c r="M163" s="842">
        <f t="shared" si="62"/>
        <v>1010</v>
      </c>
      <c r="N163" s="842">
        <f t="shared" si="62"/>
        <v>0</v>
      </c>
      <c r="O163" s="842">
        <f t="shared" si="62"/>
        <v>200</v>
      </c>
      <c r="P163" s="842">
        <f t="shared" si="62"/>
        <v>0</v>
      </c>
      <c r="Q163" s="842">
        <f t="shared" si="62"/>
        <v>0</v>
      </c>
      <c r="R163" s="842">
        <f t="shared" si="62"/>
        <v>0</v>
      </c>
      <c r="S163" s="843">
        <f t="shared" si="62"/>
        <v>0</v>
      </c>
    </row>
    <row r="164" spans="1:19" ht="15">
      <c r="A164" s="1491"/>
      <c r="B164" s="1494"/>
      <c r="C164" s="1504" t="s">
        <v>217</v>
      </c>
      <c r="D164" s="784" t="s">
        <v>4</v>
      </c>
      <c r="E164" s="815">
        <f>E5+E8+E35+E38+E41+E149+E152</f>
        <v>2849089</v>
      </c>
      <c r="F164" s="815">
        <f t="shared" si="42"/>
        <v>3483485</v>
      </c>
      <c r="G164" s="845">
        <f aca="true" t="shared" si="63" ref="G164:S164">G5+G8+G35+G38+G41+G149+G152</f>
        <v>73387</v>
      </c>
      <c r="H164" s="846">
        <f t="shared" si="63"/>
        <v>16388</v>
      </c>
      <c r="I164" s="846">
        <f t="shared" si="63"/>
        <v>654228</v>
      </c>
      <c r="J164" s="846">
        <f t="shared" si="63"/>
        <v>366780</v>
      </c>
      <c r="K164" s="846">
        <f t="shared" si="63"/>
        <v>0</v>
      </c>
      <c r="L164" s="846">
        <f t="shared" si="63"/>
        <v>115000</v>
      </c>
      <c r="M164" s="846">
        <f t="shared" si="63"/>
        <v>72660</v>
      </c>
      <c r="N164" s="846">
        <f t="shared" si="63"/>
        <v>5000</v>
      </c>
      <c r="O164" s="846">
        <f t="shared" si="63"/>
        <v>0</v>
      </c>
      <c r="P164" s="846">
        <f t="shared" si="63"/>
        <v>50000</v>
      </c>
      <c r="Q164" s="846">
        <f t="shared" si="63"/>
        <v>186067</v>
      </c>
      <c r="R164" s="846">
        <f t="shared" si="63"/>
        <v>1943975</v>
      </c>
      <c r="S164" s="847">
        <f t="shared" si="63"/>
        <v>0</v>
      </c>
    </row>
    <row r="165" spans="1:19" ht="15">
      <c r="A165" s="1492"/>
      <c r="B165" s="1495"/>
      <c r="C165" s="1501"/>
      <c r="D165" s="839" t="s">
        <v>803</v>
      </c>
      <c r="E165" s="783">
        <f>E6+E9+E36+E39+E42+E150+E153</f>
        <v>4768359</v>
      </c>
      <c r="F165" s="783">
        <f aca="true" t="shared" si="64" ref="F165">SUM(G165:S165)</f>
        <v>4991070</v>
      </c>
      <c r="G165" s="848">
        <f aca="true" t="shared" si="65" ref="G165:S165">G6+G9+G36+G39+G42+G150+G153</f>
        <v>71263</v>
      </c>
      <c r="H165" s="849">
        <f t="shared" si="65"/>
        <v>15640</v>
      </c>
      <c r="I165" s="849">
        <f t="shared" si="65"/>
        <v>524724</v>
      </c>
      <c r="J165" s="849">
        <f t="shared" si="65"/>
        <v>450075</v>
      </c>
      <c r="K165" s="849">
        <f t="shared" si="65"/>
        <v>0</v>
      </c>
      <c r="L165" s="849">
        <f t="shared" si="65"/>
        <v>225078</v>
      </c>
      <c r="M165" s="849">
        <f t="shared" si="65"/>
        <v>3562</v>
      </c>
      <c r="N165" s="849">
        <f t="shared" si="65"/>
        <v>5000</v>
      </c>
      <c r="O165" s="849">
        <f t="shared" si="65"/>
        <v>0</v>
      </c>
      <c r="P165" s="849">
        <f t="shared" si="65"/>
        <v>0</v>
      </c>
      <c r="Q165" s="849">
        <f t="shared" si="65"/>
        <v>1694503</v>
      </c>
      <c r="R165" s="849">
        <f t="shared" si="65"/>
        <v>2001225</v>
      </c>
      <c r="S165" s="850">
        <f t="shared" si="65"/>
        <v>0</v>
      </c>
    </row>
    <row r="166" spans="1:19" ht="15.75" thickBot="1">
      <c r="A166" s="1493"/>
      <c r="B166" s="1496"/>
      <c r="C166" s="1502"/>
      <c r="D166" s="1067" t="s">
        <v>940</v>
      </c>
      <c r="E166" s="851">
        <f>E7+E10+E37+E40+E43+E151+E154</f>
        <v>4023794</v>
      </c>
      <c r="F166" s="851">
        <f t="shared" si="42"/>
        <v>3547936</v>
      </c>
      <c r="G166" s="852">
        <f aca="true" t="shared" si="66" ref="G166:S166">G7+G10+G37+G40+G43+G151+G154</f>
        <v>71263</v>
      </c>
      <c r="H166" s="853">
        <f t="shared" si="66"/>
        <v>15640</v>
      </c>
      <c r="I166" s="853">
        <f t="shared" si="66"/>
        <v>84992</v>
      </c>
      <c r="J166" s="853">
        <f t="shared" si="66"/>
        <v>456341</v>
      </c>
      <c r="K166" s="853">
        <f t="shared" si="66"/>
        <v>0</v>
      </c>
      <c r="L166" s="853">
        <f t="shared" si="66"/>
        <v>216423</v>
      </c>
      <c r="M166" s="853">
        <f t="shared" si="66"/>
        <v>3884</v>
      </c>
      <c r="N166" s="853">
        <f t="shared" si="66"/>
        <v>4292</v>
      </c>
      <c r="O166" s="853">
        <f t="shared" si="66"/>
        <v>0</v>
      </c>
      <c r="P166" s="853">
        <f t="shared" si="66"/>
        <v>0</v>
      </c>
      <c r="Q166" s="853">
        <f t="shared" si="66"/>
        <v>897503</v>
      </c>
      <c r="R166" s="853">
        <f t="shared" si="66"/>
        <v>1797598</v>
      </c>
      <c r="S166" s="854">
        <f t="shared" si="66"/>
        <v>0</v>
      </c>
    </row>
    <row r="167" ht="15.75" thickTop="1"/>
    <row r="168" ht="15">
      <c r="A168" s="1423" t="s">
        <v>995</v>
      </c>
    </row>
    <row r="169" ht="15">
      <c r="A169" s="1423" t="s">
        <v>996</v>
      </c>
    </row>
    <row r="170" ht="15">
      <c r="A170" s="1423" t="s">
        <v>997</v>
      </c>
    </row>
    <row r="171" ht="15">
      <c r="A171" s="1423" t="s">
        <v>998</v>
      </c>
    </row>
    <row r="172" ht="15">
      <c r="A172" s="1423" t="s">
        <v>999</v>
      </c>
    </row>
  </sheetData>
  <mergeCells count="171">
    <mergeCell ref="A164:A166"/>
    <mergeCell ref="B164:B166"/>
    <mergeCell ref="A155:A157"/>
    <mergeCell ref="A158:A160"/>
    <mergeCell ref="B158:B160"/>
    <mergeCell ref="A161:A163"/>
    <mergeCell ref="B161:B163"/>
    <mergeCell ref="C155:C157"/>
    <mergeCell ref="C158:C160"/>
    <mergeCell ref="C161:C163"/>
    <mergeCell ref="C164:C166"/>
    <mergeCell ref="B155:B157"/>
    <mergeCell ref="C140:C142"/>
    <mergeCell ref="C143:C145"/>
    <mergeCell ref="C146:C148"/>
    <mergeCell ref="C149:C151"/>
    <mergeCell ref="C152:C154"/>
    <mergeCell ref="C122:C124"/>
    <mergeCell ref="C125:C127"/>
    <mergeCell ref="C128:C130"/>
    <mergeCell ref="C131:C133"/>
    <mergeCell ref="C137:C139"/>
    <mergeCell ref="C134:C136"/>
    <mergeCell ref="C107:C109"/>
    <mergeCell ref="C110:C112"/>
    <mergeCell ref="C113:C115"/>
    <mergeCell ref="C116:C118"/>
    <mergeCell ref="C119:C121"/>
    <mergeCell ref="C92:C94"/>
    <mergeCell ref="C95:C97"/>
    <mergeCell ref="C98:C100"/>
    <mergeCell ref="C101:C103"/>
    <mergeCell ref="C104:C106"/>
    <mergeCell ref="C77:C79"/>
    <mergeCell ref="C80:C82"/>
    <mergeCell ref="C83:C85"/>
    <mergeCell ref="C86:C88"/>
    <mergeCell ref="C89:C91"/>
    <mergeCell ref="C62:C64"/>
    <mergeCell ref="C65:C67"/>
    <mergeCell ref="C68:C70"/>
    <mergeCell ref="C71:C73"/>
    <mergeCell ref="C74:C76"/>
    <mergeCell ref="C47:C49"/>
    <mergeCell ref="C50:C52"/>
    <mergeCell ref="C53:C55"/>
    <mergeCell ref="C56:C58"/>
    <mergeCell ref="C59:C61"/>
    <mergeCell ref="A152:A154"/>
    <mergeCell ref="B152:B15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A143:A145"/>
    <mergeCell ref="B143:B145"/>
    <mergeCell ref="A146:A148"/>
    <mergeCell ref="B146:B148"/>
    <mergeCell ref="A149:A151"/>
    <mergeCell ref="B149:B151"/>
    <mergeCell ref="A131:A133"/>
    <mergeCell ref="B131:B133"/>
    <mergeCell ref="A137:A139"/>
    <mergeCell ref="B137:B139"/>
    <mergeCell ref="A140:A142"/>
    <mergeCell ref="B140:B142"/>
    <mergeCell ref="A134:A136"/>
    <mergeCell ref="B134:B136"/>
    <mergeCell ref="A122:A124"/>
    <mergeCell ref="B122:B124"/>
    <mergeCell ref="A125:A127"/>
    <mergeCell ref="B125:B127"/>
    <mergeCell ref="A128:A130"/>
    <mergeCell ref="B128:B130"/>
    <mergeCell ref="A113:A115"/>
    <mergeCell ref="B113:B115"/>
    <mergeCell ref="A116:A118"/>
    <mergeCell ref="B116:B118"/>
    <mergeCell ref="A119:A121"/>
    <mergeCell ref="B119:B121"/>
    <mergeCell ref="A104:A106"/>
    <mergeCell ref="B104:B106"/>
    <mergeCell ref="A107:A109"/>
    <mergeCell ref="B107:B109"/>
    <mergeCell ref="A110:A112"/>
    <mergeCell ref="B110:B112"/>
    <mergeCell ref="A95:A97"/>
    <mergeCell ref="B95:B97"/>
    <mergeCell ref="A98:A100"/>
    <mergeCell ref="B98:B100"/>
    <mergeCell ref="A101:A103"/>
    <mergeCell ref="B101:B103"/>
    <mergeCell ref="A86:A88"/>
    <mergeCell ref="B86:B88"/>
    <mergeCell ref="A89:A91"/>
    <mergeCell ref="B89:B91"/>
    <mergeCell ref="A92:A94"/>
    <mergeCell ref="B92:B94"/>
    <mergeCell ref="A77:A79"/>
    <mergeCell ref="B77:B79"/>
    <mergeCell ref="A80:A82"/>
    <mergeCell ref="B80:B82"/>
    <mergeCell ref="A83:A85"/>
    <mergeCell ref="B83:B85"/>
    <mergeCell ref="A68:A70"/>
    <mergeCell ref="B68:B70"/>
    <mergeCell ref="A71:A73"/>
    <mergeCell ref="B71:B73"/>
    <mergeCell ref="A74:A76"/>
    <mergeCell ref="B74:B76"/>
    <mergeCell ref="A59:A61"/>
    <mergeCell ref="B59:B61"/>
    <mergeCell ref="A62:A64"/>
    <mergeCell ref="B62:B64"/>
    <mergeCell ref="A65:A67"/>
    <mergeCell ref="B65:B67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5:A7"/>
    <mergeCell ref="B5:B7"/>
    <mergeCell ref="A8:A10"/>
    <mergeCell ref="B8:B10"/>
    <mergeCell ref="A11:A13"/>
    <mergeCell ref="B11:B13"/>
    <mergeCell ref="A1:S1"/>
    <mergeCell ref="A2:S2"/>
    <mergeCell ref="A3:D4"/>
    <mergeCell ref="E3:E4"/>
    <mergeCell ref="F3:F4"/>
    <mergeCell ref="G3:L3"/>
    <mergeCell ref="M3:P3"/>
    <mergeCell ref="Q3:R3"/>
    <mergeCell ref="S3:S4"/>
  </mergeCells>
  <printOptions horizontalCentered="1"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45" r:id="rId1"/>
  <headerFooter>
    <oddHeader>&amp;L&amp;"Times New Roman,Normál"&amp;10 5. melléklet 1,2,3,4
</oddHeader>
  </headerFooter>
  <rowBreaks count="2" manualBreakCount="2">
    <brk id="70" max="16383" man="1"/>
    <brk id="1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view="pageLayout" workbookViewId="0" topLeftCell="A1">
      <selection activeCell="C104" sqref="C104"/>
    </sheetView>
  </sheetViews>
  <sheetFormatPr defaultColWidth="9.140625" defaultRowHeight="15"/>
  <cols>
    <col min="1" max="1" width="13.8515625" style="309" bestFit="1" customWidth="1"/>
    <col min="2" max="2" width="8.00390625" style="309" bestFit="1" customWidth="1"/>
    <col min="3" max="3" width="86.57421875" style="309" bestFit="1" customWidth="1"/>
    <col min="4" max="4" width="14.421875" style="309" bestFit="1" customWidth="1"/>
    <col min="5" max="6" width="8.421875" style="309" bestFit="1" customWidth="1"/>
    <col min="7" max="7" width="10.28125" style="309" bestFit="1" customWidth="1"/>
    <col min="8" max="8" width="10.00390625" style="309" bestFit="1" customWidth="1"/>
    <col min="9" max="9" width="9.421875" style="309" bestFit="1" customWidth="1"/>
    <col min="10" max="11" width="10.140625" style="309" bestFit="1" customWidth="1"/>
    <col min="12" max="13" width="10.7109375" style="309" bestFit="1" customWidth="1"/>
    <col min="14" max="14" width="9.00390625" style="309" bestFit="1" customWidth="1"/>
    <col min="15" max="15" width="10.421875" style="309" bestFit="1" customWidth="1"/>
    <col min="16" max="16" width="10.28125" style="309" bestFit="1" customWidth="1"/>
    <col min="17" max="17" width="10.140625" style="309" bestFit="1" customWidth="1"/>
    <col min="18" max="18" width="14.28125" style="309" bestFit="1" customWidth="1"/>
    <col min="19" max="16384" width="9.140625" style="309" customWidth="1"/>
  </cols>
  <sheetData>
    <row r="1" spans="1:18" ht="15" customHeight="1">
      <c r="A1" s="1506" t="s">
        <v>230</v>
      </c>
      <c r="B1" s="1506"/>
      <c r="C1" s="1506"/>
      <c r="D1" s="1506"/>
      <c r="E1" s="1506"/>
      <c r="F1" s="1506"/>
      <c r="G1" s="1506"/>
      <c r="H1" s="1506"/>
      <c r="I1" s="1506"/>
      <c r="J1" s="1506"/>
      <c r="K1" s="1506"/>
      <c r="L1" s="1506"/>
      <c r="M1" s="1506"/>
      <c r="N1" s="1506"/>
      <c r="O1" s="1506"/>
      <c r="P1" s="1506"/>
      <c r="Q1" s="1506"/>
      <c r="R1" s="1506"/>
    </row>
    <row r="2" spans="1:18" ht="15.75" thickBot="1">
      <c r="A2" s="310"/>
      <c r="B2" s="311"/>
      <c r="C2" s="310"/>
      <c r="D2" s="312"/>
      <c r="E2" s="313"/>
      <c r="F2" s="310"/>
      <c r="G2" s="310"/>
      <c r="H2" s="310"/>
      <c r="I2" s="310"/>
      <c r="J2" s="310"/>
      <c r="K2" s="310"/>
      <c r="L2" s="310"/>
      <c r="M2" s="312"/>
      <c r="N2" s="310"/>
      <c r="O2" s="314"/>
      <c r="P2" s="314"/>
      <c r="Q2" s="314"/>
      <c r="R2" s="314"/>
    </row>
    <row r="3" spans="1:18" ht="15.75" thickTop="1">
      <c r="A3" s="1513" t="s">
        <v>3</v>
      </c>
      <c r="B3" s="1514"/>
      <c r="C3" s="1514"/>
      <c r="D3" s="1515"/>
      <c r="E3" s="1519" t="s">
        <v>110</v>
      </c>
      <c r="F3" s="1521" t="s">
        <v>111</v>
      </c>
      <c r="G3" s="1523" t="s">
        <v>112</v>
      </c>
      <c r="H3" s="1514"/>
      <c r="I3" s="1514"/>
      <c r="J3" s="1514"/>
      <c r="K3" s="1514"/>
      <c r="L3" s="1514"/>
      <c r="M3" s="1514" t="s">
        <v>113</v>
      </c>
      <c r="N3" s="1514"/>
      <c r="O3" s="1514"/>
      <c r="P3" s="1514"/>
      <c r="Q3" s="1514" t="s">
        <v>62</v>
      </c>
      <c r="R3" s="1524"/>
    </row>
    <row r="4" spans="1:18" ht="57.75" thickBot="1">
      <c r="A4" s="1516"/>
      <c r="B4" s="1517"/>
      <c r="C4" s="1517"/>
      <c r="D4" s="1518"/>
      <c r="E4" s="1520"/>
      <c r="F4" s="1522"/>
      <c r="G4" s="819" t="s">
        <v>790</v>
      </c>
      <c r="H4" s="820" t="s">
        <v>202</v>
      </c>
      <c r="I4" s="820" t="s">
        <v>203</v>
      </c>
      <c r="J4" s="820" t="s">
        <v>204</v>
      </c>
      <c r="K4" s="820" t="s">
        <v>205</v>
      </c>
      <c r="L4" s="820" t="s">
        <v>24</v>
      </c>
      <c r="M4" s="821" t="s">
        <v>64</v>
      </c>
      <c r="N4" s="821" t="s">
        <v>65</v>
      </c>
      <c r="O4" s="820" t="s">
        <v>206</v>
      </c>
      <c r="P4" s="822" t="s">
        <v>207</v>
      </c>
      <c r="Q4" s="822" t="s">
        <v>208</v>
      </c>
      <c r="R4" s="925" t="s">
        <v>209</v>
      </c>
    </row>
    <row r="5" spans="1:18" ht="16.5" thickBot="1" thickTop="1">
      <c r="A5" s="1511" t="s">
        <v>237</v>
      </c>
      <c r="B5" s="1512"/>
      <c r="C5" s="1512"/>
      <c r="D5" s="926"/>
      <c r="E5" s="927"/>
      <c r="F5" s="927"/>
      <c r="G5" s="928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30"/>
    </row>
    <row r="6" spans="1:18" ht="15">
      <c r="A6" s="1525" t="s">
        <v>115</v>
      </c>
      <c r="B6" s="1528" t="s">
        <v>116</v>
      </c>
      <c r="C6" s="1531" t="s">
        <v>219</v>
      </c>
      <c r="D6" s="866" t="s">
        <v>4</v>
      </c>
      <c r="E6" s="932">
        <v>0</v>
      </c>
      <c r="F6" s="318">
        <f>SUM(G6:R6)</f>
        <v>500376</v>
      </c>
      <c r="G6" s="933">
        <v>272837</v>
      </c>
      <c r="H6" s="934">
        <v>63240</v>
      </c>
      <c r="I6" s="934">
        <v>154484</v>
      </c>
      <c r="J6" s="934"/>
      <c r="K6" s="934"/>
      <c r="L6" s="934"/>
      <c r="M6" s="934">
        <v>9815</v>
      </c>
      <c r="N6" s="934"/>
      <c r="O6" s="934"/>
      <c r="P6" s="934"/>
      <c r="Q6" s="934"/>
      <c r="R6" s="935"/>
    </row>
    <row r="7" spans="1:18" ht="15">
      <c r="A7" s="1526"/>
      <c r="B7" s="1529"/>
      <c r="C7" s="1532"/>
      <c r="D7" s="814" t="s">
        <v>892</v>
      </c>
      <c r="E7" s="773">
        <v>8946</v>
      </c>
      <c r="F7" s="773">
        <f>SUM(G7:R7)</f>
        <v>516362</v>
      </c>
      <c r="G7" s="765">
        <v>285614</v>
      </c>
      <c r="H7" s="882">
        <v>65416</v>
      </c>
      <c r="I7" s="880">
        <v>155152</v>
      </c>
      <c r="J7" s="880"/>
      <c r="K7" s="880"/>
      <c r="L7" s="880"/>
      <c r="M7" s="880">
        <v>10180</v>
      </c>
      <c r="N7" s="880"/>
      <c r="O7" s="880"/>
      <c r="P7" s="880"/>
      <c r="Q7" s="880"/>
      <c r="R7" s="881"/>
    </row>
    <row r="8" spans="1:18" ht="15.75" thickBot="1">
      <c r="A8" s="1527"/>
      <c r="B8" s="1530"/>
      <c r="C8" s="1533"/>
      <c r="D8" s="936" t="s">
        <v>940</v>
      </c>
      <c r="E8" s="937">
        <v>17513</v>
      </c>
      <c r="F8" s="937">
        <f>SUM(G8:R8)</f>
        <v>425627</v>
      </c>
      <c r="G8" s="938">
        <v>252076</v>
      </c>
      <c r="H8" s="939">
        <v>65619</v>
      </c>
      <c r="I8" s="940">
        <v>98074</v>
      </c>
      <c r="J8" s="940"/>
      <c r="K8" s="940"/>
      <c r="L8" s="940"/>
      <c r="M8" s="940">
        <v>9858</v>
      </c>
      <c r="N8" s="940"/>
      <c r="O8" s="940"/>
      <c r="P8" s="940"/>
      <c r="Q8" s="940"/>
      <c r="R8" s="941"/>
    </row>
    <row r="9" spans="1:18" ht="15">
      <c r="A9" s="1526" t="s">
        <v>115</v>
      </c>
      <c r="B9" s="1529" t="s">
        <v>220</v>
      </c>
      <c r="C9" s="1532" t="s">
        <v>221</v>
      </c>
      <c r="D9" s="814" t="s">
        <v>4</v>
      </c>
      <c r="E9" s="931">
        <v>0</v>
      </c>
      <c r="F9" s="876">
        <f aca="true" t="shared" si="0" ref="F9:F38">SUM(G9:R9)</f>
        <v>68175</v>
      </c>
      <c r="G9" s="902">
        <v>54652</v>
      </c>
      <c r="H9" s="903">
        <v>12230</v>
      </c>
      <c r="I9" s="903">
        <v>1293</v>
      </c>
      <c r="J9" s="903"/>
      <c r="K9" s="903"/>
      <c r="L9" s="903"/>
      <c r="M9" s="903"/>
      <c r="N9" s="903"/>
      <c r="O9" s="903"/>
      <c r="P9" s="903"/>
      <c r="Q9" s="903"/>
      <c r="R9" s="879"/>
    </row>
    <row r="10" spans="1:18" ht="15">
      <c r="A10" s="1526"/>
      <c r="B10" s="1529"/>
      <c r="C10" s="1532"/>
      <c r="D10" s="814" t="s">
        <v>892</v>
      </c>
      <c r="E10" s="773">
        <v>0</v>
      </c>
      <c r="F10" s="772">
        <f aca="true" t="shared" si="1" ref="F10">SUM(G10:R10)</f>
        <v>68314</v>
      </c>
      <c r="G10" s="766">
        <v>54768</v>
      </c>
      <c r="H10" s="884">
        <v>12253</v>
      </c>
      <c r="I10" s="884">
        <v>1293</v>
      </c>
      <c r="J10" s="880"/>
      <c r="K10" s="880"/>
      <c r="L10" s="880"/>
      <c r="M10" s="880"/>
      <c r="N10" s="880"/>
      <c r="O10" s="880"/>
      <c r="P10" s="880"/>
      <c r="Q10" s="880"/>
      <c r="R10" s="881"/>
    </row>
    <row r="11" spans="1:18" ht="15.75" thickBot="1">
      <c r="A11" s="1534"/>
      <c r="B11" s="1535"/>
      <c r="C11" s="1536"/>
      <c r="D11" s="883" t="s">
        <v>940</v>
      </c>
      <c r="E11" s="773">
        <v>0</v>
      </c>
      <c r="F11" s="772">
        <f aca="true" t="shared" si="2" ref="F11">SUM(G11:R11)</f>
        <v>36326</v>
      </c>
      <c r="G11" s="766">
        <v>27778</v>
      </c>
      <c r="H11" s="884">
        <v>7255</v>
      </c>
      <c r="I11" s="884">
        <v>1293</v>
      </c>
      <c r="J11" s="880"/>
      <c r="K11" s="880"/>
      <c r="L11" s="880"/>
      <c r="M11" s="880"/>
      <c r="N11" s="880"/>
      <c r="O11" s="880"/>
      <c r="P11" s="880"/>
      <c r="Q11" s="880"/>
      <c r="R11" s="881"/>
    </row>
    <row r="12" spans="1:18" ht="15">
      <c r="A12" s="1525" t="s">
        <v>115</v>
      </c>
      <c r="B12" s="1528" t="s">
        <v>231</v>
      </c>
      <c r="C12" s="1531" t="s">
        <v>236</v>
      </c>
      <c r="D12" s="866" t="s">
        <v>4</v>
      </c>
      <c r="E12" s="932">
        <v>0</v>
      </c>
      <c r="F12" s="318">
        <f t="shared" si="0"/>
        <v>0</v>
      </c>
      <c r="G12" s="933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5"/>
    </row>
    <row r="13" spans="1:18" ht="15">
      <c r="A13" s="1526"/>
      <c r="B13" s="1529"/>
      <c r="C13" s="1532"/>
      <c r="D13" s="814" t="s">
        <v>892</v>
      </c>
      <c r="E13" s="773">
        <v>5894</v>
      </c>
      <c r="F13" s="773">
        <f aca="true" t="shared" si="3" ref="F13">SUM(G13:R13)</f>
        <v>7599</v>
      </c>
      <c r="G13" s="765">
        <v>5538</v>
      </c>
      <c r="H13" s="882">
        <v>1123</v>
      </c>
      <c r="I13" s="880">
        <v>820</v>
      </c>
      <c r="J13" s="880">
        <v>118</v>
      </c>
      <c r="K13" s="880"/>
      <c r="L13" s="880"/>
      <c r="M13" s="880"/>
      <c r="N13" s="880"/>
      <c r="O13" s="880"/>
      <c r="P13" s="880"/>
      <c r="Q13" s="880"/>
      <c r="R13" s="881"/>
    </row>
    <row r="14" spans="1:18" ht="15.75" thickBot="1">
      <c r="A14" s="1527"/>
      <c r="B14" s="1530"/>
      <c r="C14" s="1533"/>
      <c r="D14" s="936" t="s">
        <v>940</v>
      </c>
      <c r="E14" s="937">
        <v>5894</v>
      </c>
      <c r="F14" s="937">
        <f aca="true" t="shared" si="4" ref="F14">SUM(G14:R14)</f>
        <v>7599</v>
      </c>
      <c r="G14" s="938">
        <v>5538</v>
      </c>
      <c r="H14" s="939">
        <v>1123</v>
      </c>
      <c r="I14" s="940">
        <v>820</v>
      </c>
      <c r="J14" s="940">
        <v>118</v>
      </c>
      <c r="K14" s="940"/>
      <c r="L14" s="940"/>
      <c r="M14" s="940"/>
      <c r="N14" s="940"/>
      <c r="O14" s="940"/>
      <c r="P14" s="940"/>
      <c r="Q14" s="940"/>
      <c r="R14" s="941"/>
    </row>
    <row r="15" spans="1:18" ht="15">
      <c r="A15" s="1537" t="s">
        <v>115</v>
      </c>
      <c r="B15" s="1538" t="s">
        <v>232</v>
      </c>
      <c r="C15" s="1539" t="s">
        <v>222</v>
      </c>
      <c r="D15" s="814" t="s">
        <v>4</v>
      </c>
      <c r="E15" s="773">
        <v>5000</v>
      </c>
      <c r="F15" s="772">
        <f t="shared" si="0"/>
        <v>6542</v>
      </c>
      <c r="G15" s="764">
        <v>4959</v>
      </c>
      <c r="H15" s="880">
        <v>1185</v>
      </c>
      <c r="I15" s="880">
        <v>398</v>
      </c>
      <c r="J15" s="880"/>
      <c r="K15" s="880"/>
      <c r="L15" s="880"/>
      <c r="M15" s="880"/>
      <c r="N15" s="880"/>
      <c r="O15" s="880"/>
      <c r="P15" s="880"/>
      <c r="Q15" s="880"/>
      <c r="R15" s="881"/>
    </row>
    <row r="16" spans="1:18" ht="15">
      <c r="A16" s="1526"/>
      <c r="B16" s="1529"/>
      <c r="C16" s="1532"/>
      <c r="D16" s="814" t="s">
        <v>892</v>
      </c>
      <c r="E16" s="773">
        <v>5000</v>
      </c>
      <c r="F16" s="772">
        <f aca="true" t="shared" si="5" ref="F16">SUM(G16:R16)</f>
        <v>6542</v>
      </c>
      <c r="G16" s="764">
        <v>4959</v>
      </c>
      <c r="H16" s="880">
        <v>1185</v>
      </c>
      <c r="I16" s="880">
        <v>398</v>
      </c>
      <c r="J16" s="880"/>
      <c r="K16" s="880"/>
      <c r="L16" s="880"/>
      <c r="M16" s="880"/>
      <c r="N16" s="880"/>
      <c r="O16" s="880"/>
      <c r="P16" s="880"/>
      <c r="Q16" s="880"/>
      <c r="R16" s="881"/>
    </row>
    <row r="17" spans="1:18" ht="15.75" thickBot="1">
      <c r="A17" s="1534"/>
      <c r="B17" s="1535"/>
      <c r="C17" s="1536"/>
      <c r="D17" s="883" t="s">
        <v>940</v>
      </c>
      <c r="E17" s="773">
        <v>7317</v>
      </c>
      <c r="F17" s="772">
        <f aca="true" t="shared" si="6" ref="F17">SUM(G17:R17)</f>
        <v>7506</v>
      </c>
      <c r="G17" s="764">
        <v>5790</v>
      </c>
      <c r="H17" s="880">
        <v>1318</v>
      </c>
      <c r="I17" s="880">
        <v>398</v>
      </c>
      <c r="J17" s="880"/>
      <c r="K17" s="880"/>
      <c r="L17" s="880"/>
      <c r="M17" s="880"/>
      <c r="N17" s="880"/>
      <c r="O17" s="880"/>
      <c r="P17" s="880"/>
      <c r="Q17" s="880"/>
      <c r="R17" s="881"/>
    </row>
    <row r="18" spans="1:18" ht="15">
      <c r="A18" s="1525" t="s">
        <v>115</v>
      </c>
      <c r="B18" s="1528" t="s">
        <v>136</v>
      </c>
      <c r="C18" s="1531" t="s">
        <v>137</v>
      </c>
      <c r="D18" s="866" t="s">
        <v>4</v>
      </c>
      <c r="E18" s="932">
        <v>735228</v>
      </c>
      <c r="F18" s="318">
        <f t="shared" si="0"/>
        <v>0</v>
      </c>
      <c r="G18" s="933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5"/>
    </row>
    <row r="19" spans="1:18" ht="15">
      <c r="A19" s="1526"/>
      <c r="B19" s="1529"/>
      <c r="C19" s="1532"/>
      <c r="D19" s="814" t="s">
        <v>892</v>
      </c>
      <c r="E19" s="773">
        <v>748223</v>
      </c>
      <c r="F19" s="773">
        <f aca="true" t="shared" si="7" ref="F19">SUM(G19:R19)</f>
        <v>0</v>
      </c>
      <c r="G19" s="765"/>
      <c r="H19" s="882"/>
      <c r="I19" s="880"/>
      <c r="J19" s="880"/>
      <c r="K19" s="880"/>
      <c r="L19" s="880"/>
      <c r="M19" s="880"/>
      <c r="N19" s="880"/>
      <c r="O19" s="880"/>
      <c r="P19" s="880"/>
      <c r="Q19" s="880"/>
      <c r="R19" s="881"/>
    </row>
    <row r="20" spans="1:18" ht="15.75" thickBot="1">
      <c r="A20" s="1527"/>
      <c r="B20" s="1530"/>
      <c r="C20" s="1533"/>
      <c r="D20" s="936" t="s">
        <v>940</v>
      </c>
      <c r="E20" s="937">
        <v>572280</v>
      </c>
      <c r="F20" s="937">
        <f t="shared" si="0"/>
        <v>0</v>
      </c>
      <c r="G20" s="938"/>
      <c r="H20" s="939"/>
      <c r="I20" s="940"/>
      <c r="J20" s="940"/>
      <c r="K20" s="940"/>
      <c r="L20" s="940"/>
      <c r="M20" s="940"/>
      <c r="N20" s="940"/>
      <c r="O20" s="940"/>
      <c r="P20" s="940"/>
      <c r="Q20" s="940"/>
      <c r="R20" s="941"/>
    </row>
    <row r="21" spans="1:18" ht="15">
      <c r="A21" s="1537" t="s">
        <v>118</v>
      </c>
      <c r="B21" s="1538" t="s">
        <v>138</v>
      </c>
      <c r="C21" s="1539" t="s">
        <v>224</v>
      </c>
      <c r="D21" s="814" t="s">
        <v>4</v>
      </c>
      <c r="E21" s="773">
        <v>0</v>
      </c>
      <c r="F21" s="772">
        <f t="shared" si="0"/>
        <v>26451</v>
      </c>
      <c r="G21" s="764">
        <v>19206</v>
      </c>
      <c r="H21" s="880">
        <v>4320</v>
      </c>
      <c r="I21" s="880">
        <v>2825</v>
      </c>
      <c r="J21" s="880"/>
      <c r="K21" s="880"/>
      <c r="L21" s="880"/>
      <c r="M21" s="880">
        <v>100</v>
      </c>
      <c r="N21" s="880"/>
      <c r="O21" s="880"/>
      <c r="P21" s="880"/>
      <c r="Q21" s="880"/>
      <c r="R21" s="881"/>
    </row>
    <row r="22" spans="1:18" ht="15">
      <c r="A22" s="1526"/>
      <c r="B22" s="1529"/>
      <c r="C22" s="1532"/>
      <c r="D22" s="814" t="s">
        <v>892</v>
      </c>
      <c r="E22" s="773">
        <v>0</v>
      </c>
      <c r="F22" s="772">
        <f aca="true" t="shared" si="8" ref="F22">SUM(G22:R22)</f>
        <v>30411</v>
      </c>
      <c r="G22" s="764">
        <v>19206</v>
      </c>
      <c r="H22" s="880">
        <v>4320</v>
      </c>
      <c r="I22" s="880">
        <v>6785</v>
      </c>
      <c r="J22" s="880"/>
      <c r="K22" s="880"/>
      <c r="L22" s="880"/>
      <c r="M22" s="880">
        <v>100</v>
      </c>
      <c r="N22" s="880"/>
      <c r="O22" s="880"/>
      <c r="P22" s="880"/>
      <c r="Q22" s="880"/>
      <c r="R22" s="881"/>
    </row>
    <row r="23" spans="1:18" ht="15.75" thickBot="1">
      <c r="A23" s="1534"/>
      <c r="B23" s="1535"/>
      <c r="C23" s="1536"/>
      <c r="D23" s="883" t="s">
        <v>940</v>
      </c>
      <c r="E23" s="773">
        <v>0</v>
      </c>
      <c r="F23" s="772">
        <f aca="true" t="shared" si="9" ref="F23">SUM(G23:R23)</f>
        <v>19911</v>
      </c>
      <c r="G23" s="764">
        <v>12206</v>
      </c>
      <c r="H23" s="880">
        <v>2820</v>
      </c>
      <c r="I23" s="880">
        <v>4785</v>
      </c>
      <c r="J23" s="880"/>
      <c r="K23" s="880"/>
      <c r="L23" s="880"/>
      <c r="M23" s="880">
        <v>100</v>
      </c>
      <c r="N23" s="880"/>
      <c r="O23" s="880"/>
      <c r="P23" s="880"/>
      <c r="Q23" s="880"/>
      <c r="R23" s="881"/>
    </row>
    <row r="24" spans="1:18" ht="15">
      <c r="A24" s="1525" t="s">
        <v>115</v>
      </c>
      <c r="B24" s="1528" t="s">
        <v>233</v>
      </c>
      <c r="C24" s="1531" t="s">
        <v>225</v>
      </c>
      <c r="D24" s="866" t="s">
        <v>4</v>
      </c>
      <c r="E24" s="932">
        <v>0</v>
      </c>
      <c r="F24" s="318">
        <f t="shared" si="0"/>
        <v>42142</v>
      </c>
      <c r="G24" s="933">
        <v>33741</v>
      </c>
      <c r="H24" s="934">
        <v>7847</v>
      </c>
      <c r="I24" s="934">
        <v>554</v>
      </c>
      <c r="J24" s="934"/>
      <c r="K24" s="934"/>
      <c r="L24" s="934"/>
      <c r="M24" s="934"/>
      <c r="N24" s="934"/>
      <c r="O24" s="934"/>
      <c r="P24" s="934"/>
      <c r="Q24" s="934"/>
      <c r="R24" s="935"/>
    </row>
    <row r="25" spans="1:18" ht="15">
      <c r="A25" s="1526"/>
      <c r="B25" s="1529"/>
      <c r="C25" s="1532"/>
      <c r="D25" s="814" t="s">
        <v>892</v>
      </c>
      <c r="E25" s="773">
        <v>0</v>
      </c>
      <c r="F25" s="773">
        <f aca="true" t="shared" si="10" ref="F25">SUM(G25:R25)</f>
        <v>42146</v>
      </c>
      <c r="G25" s="765">
        <v>33744</v>
      </c>
      <c r="H25" s="882">
        <v>7848</v>
      </c>
      <c r="I25" s="880">
        <v>554</v>
      </c>
      <c r="J25" s="880"/>
      <c r="K25" s="880"/>
      <c r="L25" s="880"/>
      <c r="M25" s="880"/>
      <c r="N25" s="880"/>
      <c r="O25" s="880"/>
      <c r="P25" s="880"/>
      <c r="Q25" s="880"/>
      <c r="R25" s="881"/>
    </row>
    <row r="26" spans="1:18" ht="15.75" thickBot="1">
      <c r="A26" s="1527"/>
      <c r="B26" s="1530"/>
      <c r="C26" s="1533"/>
      <c r="D26" s="936" t="s">
        <v>940</v>
      </c>
      <c r="E26" s="937">
        <v>0</v>
      </c>
      <c r="F26" s="937">
        <f aca="true" t="shared" si="11" ref="F26">SUM(G26:R26)</f>
        <v>33146</v>
      </c>
      <c r="G26" s="938">
        <v>25744</v>
      </c>
      <c r="H26" s="939">
        <v>6848</v>
      </c>
      <c r="I26" s="940">
        <v>554</v>
      </c>
      <c r="J26" s="940"/>
      <c r="K26" s="940"/>
      <c r="L26" s="940"/>
      <c r="M26" s="940"/>
      <c r="N26" s="940"/>
      <c r="O26" s="940"/>
      <c r="P26" s="940"/>
      <c r="Q26" s="940"/>
      <c r="R26" s="941"/>
    </row>
    <row r="27" spans="1:18" ht="15">
      <c r="A27" s="1537" t="s">
        <v>118</v>
      </c>
      <c r="B27" s="1538" t="s">
        <v>158</v>
      </c>
      <c r="C27" s="1539" t="s">
        <v>226</v>
      </c>
      <c r="D27" s="814" t="s">
        <v>4</v>
      </c>
      <c r="E27" s="773">
        <v>600</v>
      </c>
      <c r="F27" s="772">
        <f t="shared" si="0"/>
        <v>1200</v>
      </c>
      <c r="G27" s="766"/>
      <c r="H27" s="884"/>
      <c r="I27" s="884"/>
      <c r="J27" s="884"/>
      <c r="K27" s="884"/>
      <c r="L27" s="884"/>
      <c r="M27" s="884"/>
      <c r="N27" s="884"/>
      <c r="O27" s="884">
        <v>1200</v>
      </c>
      <c r="P27" s="884"/>
      <c r="Q27" s="884"/>
      <c r="R27" s="881"/>
    </row>
    <row r="28" spans="1:18" ht="15">
      <c r="A28" s="1526"/>
      <c r="B28" s="1529"/>
      <c r="C28" s="1532"/>
      <c r="D28" s="814" t="s">
        <v>892</v>
      </c>
      <c r="E28" s="773">
        <v>600</v>
      </c>
      <c r="F28" s="772">
        <f aca="true" t="shared" si="12" ref="F28">SUM(G28:R28)</f>
        <v>1200</v>
      </c>
      <c r="G28" s="766"/>
      <c r="H28" s="884"/>
      <c r="I28" s="884"/>
      <c r="J28" s="884"/>
      <c r="K28" s="884"/>
      <c r="L28" s="884"/>
      <c r="M28" s="884"/>
      <c r="N28" s="884"/>
      <c r="O28" s="884">
        <v>1200</v>
      </c>
      <c r="P28" s="884"/>
      <c r="Q28" s="884"/>
      <c r="R28" s="881"/>
    </row>
    <row r="29" spans="1:18" ht="15.75" thickBot="1">
      <c r="A29" s="1534"/>
      <c r="B29" s="1535"/>
      <c r="C29" s="1536"/>
      <c r="D29" s="883" t="s">
        <v>940</v>
      </c>
      <c r="E29" s="773">
        <v>600</v>
      </c>
      <c r="F29" s="772">
        <f aca="true" t="shared" si="13" ref="F29">SUM(G29:R29)</f>
        <v>1200</v>
      </c>
      <c r="G29" s="766"/>
      <c r="H29" s="884"/>
      <c r="I29" s="884"/>
      <c r="J29" s="884"/>
      <c r="K29" s="884"/>
      <c r="L29" s="884"/>
      <c r="M29" s="884"/>
      <c r="N29" s="884"/>
      <c r="O29" s="884">
        <v>1200</v>
      </c>
      <c r="P29" s="884"/>
      <c r="Q29" s="884"/>
      <c r="R29" s="881"/>
    </row>
    <row r="30" spans="1:18" ht="15">
      <c r="A30" s="1525" t="s">
        <v>115</v>
      </c>
      <c r="B30" s="1528" t="s">
        <v>167</v>
      </c>
      <c r="C30" s="1531" t="s">
        <v>235</v>
      </c>
      <c r="D30" s="866" t="s">
        <v>4</v>
      </c>
      <c r="E30" s="932">
        <v>2460</v>
      </c>
      <c r="F30" s="318">
        <f t="shared" si="0"/>
        <v>88397</v>
      </c>
      <c r="G30" s="933">
        <v>68355</v>
      </c>
      <c r="H30" s="934">
        <v>15675</v>
      </c>
      <c r="I30" s="934">
        <v>3567</v>
      </c>
      <c r="J30" s="934"/>
      <c r="K30" s="934"/>
      <c r="L30" s="934"/>
      <c r="M30" s="934">
        <v>800</v>
      </c>
      <c r="N30" s="934"/>
      <c r="O30" s="934"/>
      <c r="P30" s="934"/>
      <c r="Q30" s="934"/>
      <c r="R30" s="935"/>
    </row>
    <row r="31" spans="1:18" ht="15">
      <c r="A31" s="1526"/>
      <c r="B31" s="1529"/>
      <c r="C31" s="1532"/>
      <c r="D31" s="814" t="s">
        <v>892</v>
      </c>
      <c r="E31" s="773">
        <v>108692</v>
      </c>
      <c r="F31" s="773">
        <f aca="true" t="shared" si="14" ref="F31">SUM(G31:R31)</f>
        <v>194476</v>
      </c>
      <c r="G31" s="765">
        <v>86191</v>
      </c>
      <c r="H31" s="882">
        <v>24067</v>
      </c>
      <c r="I31" s="880">
        <v>67124</v>
      </c>
      <c r="J31" s="880"/>
      <c r="K31" s="880"/>
      <c r="L31" s="880"/>
      <c r="M31" s="880">
        <v>17094</v>
      </c>
      <c r="N31" s="880"/>
      <c r="O31" s="880"/>
      <c r="P31" s="880"/>
      <c r="Q31" s="880"/>
      <c r="R31" s="881"/>
    </row>
    <row r="32" spans="1:18" ht="15.75" thickBot="1">
      <c r="A32" s="1527"/>
      <c r="B32" s="1530"/>
      <c r="C32" s="1533"/>
      <c r="D32" s="936" t="s">
        <v>940</v>
      </c>
      <c r="E32" s="937">
        <v>108692</v>
      </c>
      <c r="F32" s="937">
        <f aca="true" t="shared" si="15" ref="F32">SUM(G32:R32)</f>
        <v>170976</v>
      </c>
      <c r="G32" s="938">
        <v>69191</v>
      </c>
      <c r="H32" s="939">
        <v>17567</v>
      </c>
      <c r="I32" s="940">
        <v>67109</v>
      </c>
      <c r="J32" s="940"/>
      <c r="K32" s="940"/>
      <c r="L32" s="940"/>
      <c r="M32" s="940">
        <v>17109</v>
      </c>
      <c r="N32" s="940"/>
      <c r="O32" s="940"/>
      <c r="P32" s="940"/>
      <c r="Q32" s="940"/>
      <c r="R32" s="941"/>
    </row>
    <row r="33" spans="1:18" ht="15">
      <c r="A33" s="1537" t="s">
        <v>121</v>
      </c>
      <c r="B33" s="1538" t="s">
        <v>234</v>
      </c>
      <c r="C33" s="1539" t="s">
        <v>228</v>
      </c>
      <c r="D33" s="814" t="s">
        <v>4</v>
      </c>
      <c r="E33" s="773">
        <v>0</v>
      </c>
      <c r="F33" s="772">
        <f t="shared" si="0"/>
        <v>10005</v>
      </c>
      <c r="G33" s="764">
        <v>8077</v>
      </c>
      <c r="H33" s="880">
        <v>1872</v>
      </c>
      <c r="I33" s="880">
        <v>56</v>
      </c>
      <c r="J33" s="880"/>
      <c r="K33" s="880"/>
      <c r="L33" s="880"/>
      <c r="M33" s="880"/>
      <c r="N33" s="880"/>
      <c r="O33" s="880"/>
      <c r="P33" s="880"/>
      <c r="Q33" s="880"/>
      <c r="R33" s="881"/>
    </row>
    <row r="34" spans="1:18" ht="15">
      <c r="A34" s="1526"/>
      <c r="B34" s="1529"/>
      <c r="C34" s="1532"/>
      <c r="D34" s="814" t="s">
        <v>892</v>
      </c>
      <c r="E34" s="773">
        <v>0</v>
      </c>
      <c r="F34" s="772">
        <f aca="true" t="shared" si="16" ref="F34">SUM(G34:R34)</f>
        <v>10005</v>
      </c>
      <c r="G34" s="764">
        <v>8077</v>
      </c>
      <c r="H34" s="880">
        <v>1872</v>
      </c>
      <c r="I34" s="880">
        <v>56</v>
      </c>
      <c r="J34" s="880"/>
      <c r="K34" s="880"/>
      <c r="L34" s="880"/>
      <c r="M34" s="880"/>
      <c r="N34" s="880"/>
      <c r="O34" s="880"/>
      <c r="P34" s="880"/>
      <c r="Q34" s="880"/>
      <c r="R34" s="881"/>
    </row>
    <row r="35" spans="1:18" ht="15.75" thickBot="1">
      <c r="A35" s="1527"/>
      <c r="B35" s="1530"/>
      <c r="C35" s="1533"/>
      <c r="D35" s="886" t="s">
        <v>940</v>
      </c>
      <c r="E35" s="887">
        <v>0</v>
      </c>
      <c r="F35" s="774">
        <f t="shared" si="0"/>
        <v>10005</v>
      </c>
      <c r="G35" s="888">
        <v>8077</v>
      </c>
      <c r="H35" s="889">
        <v>1872</v>
      </c>
      <c r="I35" s="889">
        <v>56</v>
      </c>
      <c r="J35" s="889"/>
      <c r="K35" s="889"/>
      <c r="L35" s="889"/>
      <c r="M35" s="889"/>
      <c r="N35" s="889"/>
      <c r="O35" s="889"/>
      <c r="P35" s="889"/>
      <c r="Q35" s="889"/>
      <c r="R35" s="890"/>
    </row>
    <row r="36" spans="1:18" ht="15">
      <c r="A36" s="1545"/>
      <c r="B36" s="1542"/>
      <c r="C36" s="1540" t="s">
        <v>238</v>
      </c>
      <c r="D36" s="317" t="s">
        <v>4</v>
      </c>
      <c r="E36" s="315">
        <f>E6+E9+E12+E15+E18+E21+E24+E27+E30+E33</f>
        <v>743288</v>
      </c>
      <c r="F36" s="315">
        <f t="shared" si="0"/>
        <v>743288</v>
      </c>
      <c r="G36" s="891">
        <f>G6+G9+G12+G15+G18+G21+G24+G27+G30+G33</f>
        <v>461827</v>
      </c>
      <c r="H36" s="892">
        <f aca="true" t="shared" si="17" ref="H36:R36">H6+H9+H12+H15+H18+H21+H24+H27+H30+H33</f>
        <v>106369</v>
      </c>
      <c r="I36" s="892">
        <f t="shared" si="17"/>
        <v>163177</v>
      </c>
      <c r="J36" s="892">
        <f t="shared" si="17"/>
        <v>0</v>
      </c>
      <c r="K36" s="892">
        <f t="shared" si="17"/>
        <v>0</v>
      </c>
      <c r="L36" s="892">
        <f t="shared" si="17"/>
        <v>0</v>
      </c>
      <c r="M36" s="892">
        <f t="shared" si="17"/>
        <v>10715</v>
      </c>
      <c r="N36" s="892">
        <f t="shared" si="17"/>
        <v>0</v>
      </c>
      <c r="O36" s="892">
        <f t="shared" si="17"/>
        <v>1200</v>
      </c>
      <c r="P36" s="892">
        <f t="shared" si="17"/>
        <v>0</v>
      </c>
      <c r="Q36" s="892">
        <f t="shared" si="17"/>
        <v>0</v>
      </c>
      <c r="R36" s="893">
        <f t="shared" si="17"/>
        <v>0</v>
      </c>
    </row>
    <row r="37" spans="1:18" ht="15">
      <c r="A37" s="1546"/>
      <c r="B37" s="1543"/>
      <c r="C37" s="1512"/>
      <c r="D37" s="894" t="s">
        <v>803</v>
      </c>
      <c r="E37" s="775">
        <f aca="true" t="shared" si="18" ref="E37:E38">E7+E10+E13+E16+E19+E22+E25+E28+E31+E34</f>
        <v>877355</v>
      </c>
      <c r="F37" s="775">
        <f aca="true" t="shared" si="19" ref="F37">SUM(G37:R37)</f>
        <v>877055</v>
      </c>
      <c r="G37" s="767">
        <f aca="true" t="shared" si="20" ref="G37:R38">G7+G10+G13+G16+G19+G22+G25+G28+G31+G34</f>
        <v>498097</v>
      </c>
      <c r="H37" s="895">
        <f t="shared" si="20"/>
        <v>118084</v>
      </c>
      <c r="I37" s="895">
        <f t="shared" si="20"/>
        <v>232182</v>
      </c>
      <c r="J37" s="895">
        <f t="shared" si="20"/>
        <v>118</v>
      </c>
      <c r="K37" s="895">
        <f t="shared" si="20"/>
        <v>0</v>
      </c>
      <c r="L37" s="895">
        <f t="shared" si="20"/>
        <v>0</v>
      </c>
      <c r="M37" s="895">
        <f t="shared" si="20"/>
        <v>27374</v>
      </c>
      <c r="N37" s="895">
        <f t="shared" si="20"/>
        <v>0</v>
      </c>
      <c r="O37" s="895">
        <f t="shared" si="20"/>
        <v>1200</v>
      </c>
      <c r="P37" s="895">
        <f t="shared" si="20"/>
        <v>0</v>
      </c>
      <c r="Q37" s="895">
        <f t="shared" si="20"/>
        <v>0</v>
      </c>
      <c r="R37" s="896">
        <f t="shared" si="20"/>
        <v>0</v>
      </c>
    </row>
    <row r="38" spans="1:18" ht="15.75" thickBot="1">
      <c r="A38" s="1547"/>
      <c r="B38" s="1544"/>
      <c r="C38" s="1541"/>
      <c r="D38" s="897" t="s">
        <v>892</v>
      </c>
      <c r="E38" s="316">
        <f t="shared" si="18"/>
        <v>712296</v>
      </c>
      <c r="F38" s="316">
        <f t="shared" si="0"/>
        <v>712296</v>
      </c>
      <c r="G38" s="768">
        <f t="shared" si="20"/>
        <v>406400</v>
      </c>
      <c r="H38" s="898">
        <f t="shared" si="20"/>
        <v>104422</v>
      </c>
      <c r="I38" s="898">
        <f t="shared" si="20"/>
        <v>173089</v>
      </c>
      <c r="J38" s="898">
        <f t="shared" si="20"/>
        <v>118</v>
      </c>
      <c r="K38" s="898">
        <f t="shared" si="20"/>
        <v>0</v>
      </c>
      <c r="L38" s="898">
        <f t="shared" si="20"/>
        <v>0</v>
      </c>
      <c r="M38" s="898">
        <f t="shared" si="20"/>
        <v>27067</v>
      </c>
      <c r="N38" s="898">
        <f t="shared" si="20"/>
        <v>0</v>
      </c>
      <c r="O38" s="898">
        <f t="shared" si="20"/>
        <v>1200</v>
      </c>
      <c r="P38" s="898">
        <f t="shared" si="20"/>
        <v>0</v>
      </c>
      <c r="Q38" s="898">
        <f t="shared" si="20"/>
        <v>0</v>
      </c>
      <c r="R38" s="899">
        <f t="shared" si="20"/>
        <v>0</v>
      </c>
    </row>
    <row r="39" spans="1:18" ht="15.75" thickBot="1">
      <c r="A39" s="1507" t="s">
        <v>239</v>
      </c>
      <c r="B39" s="1508"/>
      <c r="C39" s="1508"/>
      <c r="D39" s="900"/>
      <c r="E39" s="901"/>
      <c r="F39" s="876"/>
      <c r="G39" s="902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879"/>
    </row>
    <row r="40" spans="1:18" ht="15">
      <c r="A40" s="1525" t="s">
        <v>115</v>
      </c>
      <c r="B40" s="1528" t="s">
        <v>116</v>
      </c>
      <c r="C40" s="1531" t="s">
        <v>219</v>
      </c>
      <c r="D40" s="866" t="s">
        <v>4</v>
      </c>
      <c r="E40" s="932">
        <v>10798</v>
      </c>
      <c r="F40" s="318">
        <f aca="true" t="shared" si="21" ref="F40:F51">SUM(G40:R40)</f>
        <v>29798</v>
      </c>
      <c r="G40" s="933">
        <v>23370</v>
      </c>
      <c r="H40" s="934">
        <v>4501</v>
      </c>
      <c r="I40" s="934">
        <v>1927</v>
      </c>
      <c r="J40" s="934"/>
      <c r="K40" s="934"/>
      <c r="L40" s="934"/>
      <c r="M40" s="934"/>
      <c r="N40" s="934"/>
      <c r="O40" s="934"/>
      <c r="P40" s="934"/>
      <c r="Q40" s="934"/>
      <c r="R40" s="935"/>
    </row>
    <row r="41" spans="1:18" ht="15">
      <c r="A41" s="1526"/>
      <c r="B41" s="1529"/>
      <c r="C41" s="1532"/>
      <c r="D41" s="814" t="s">
        <v>892</v>
      </c>
      <c r="E41" s="773">
        <v>0</v>
      </c>
      <c r="F41" s="773">
        <f aca="true" t="shared" si="22" ref="F41">SUM(G41:R41)</f>
        <v>30948</v>
      </c>
      <c r="G41" s="765">
        <v>24031</v>
      </c>
      <c r="H41" s="882">
        <v>5566</v>
      </c>
      <c r="I41" s="880">
        <v>1351</v>
      </c>
      <c r="J41" s="880"/>
      <c r="K41" s="880"/>
      <c r="L41" s="880"/>
      <c r="M41" s="880"/>
      <c r="N41" s="880"/>
      <c r="O41" s="880"/>
      <c r="P41" s="880"/>
      <c r="Q41" s="880"/>
      <c r="R41" s="881"/>
    </row>
    <row r="42" spans="1:18" ht="15.75" thickBot="1">
      <c r="A42" s="1527"/>
      <c r="B42" s="1530"/>
      <c r="C42" s="1533"/>
      <c r="D42" s="936" t="s">
        <v>940</v>
      </c>
      <c r="E42" s="937">
        <v>0</v>
      </c>
      <c r="F42" s="937">
        <f aca="true" t="shared" si="23" ref="F42">SUM(G42:R42)</f>
        <v>31243</v>
      </c>
      <c r="G42" s="938">
        <v>24276</v>
      </c>
      <c r="H42" s="939">
        <v>5517</v>
      </c>
      <c r="I42" s="940">
        <v>1450</v>
      </c>
      <c r="J42" s="940"/>
      <c r="K42" s="940"/>
      <c r="L42" s="940"/>
      <c r="M42" s="940"/>
      <c r="N42" s="940"/>
      <c r="O42" s="940"/>
      <c r="P42" s="940"/>
      <c r="Q42" s="940"/>
      <c r="R42" s="941"/>
    </row>
    <row r="43" spans="1:18" ht="15">
      <c r="A43" s="1537" t="s">
        <v>115</v>
      </c>
      <c r="B43" s="1538" t="s">
        <v>136</v>
      </c>
      <c r="C43" s="1539" t="s">
        <v>137</v>
      </c>
      <c r="D43" s="814" t="s">
        <v>4</v>
      </c>
      <c r="E43" s="773">
        <v>19000</v>
      </c>
      <c r="F43" s="772">
        <f t="shared" si="21"/>
        <v>0</v>
      </c>
      <c r="G43" s="766"/>
      <c r="H43" s="884"/>
      <c r="I43" s="884"/>
      <c r="J43" s="884"/>
      <c r="K43" s="884"/>
      <c r="L43" s="884"/>
      <c r="M43" s="884"/>
      <c r="N43" s="884"/>
      <c r="O43" s="884"/>
      <c r="P43" s="884"/>
      <c r="Q43" s="884"/>
      <c r="R43" s="881"/>
    </row>
    <row r="44" spans="1:18" ht="15">
      <c r="A44" s="1526"/>
      <c r="B44" s="1529"/>
      <c r="C44" s="1532"/>
      <c r="D44" s="814" t="s">
        <v>892</v>
      </c>
      <c r="E44" s="773">
        <v>31156</v>
      </c>
      <c r="F44" s="772">
        <f aca="true" t="shared" si="24" ref="F44">SUM(G44:R44)</f>
        <v>0</v>
      </c>
      <c r="G44" s="766"/>
      <c r="H44" s="884"/>
      <c r="I44" s="884"/>
      <c r="J44" s="884"/>
      <c r="K44" s="884"/>
      <c r="L44" s="884"/>
      <c r="M44" s="884"/>
      <c r="N44" s="884"/>
      <c r="O44" s="884"/>
      <c r="P44" s="884"/>
      <c r="Q44" s="884"/>
      <c r="R44" s="881"/>
    </row>
    <row r="45" spans="1:18" ht="15.75" thickBot="1">
      <c r="A45" s="1534"/>
      <c r="B45" s="1535"/>
      <c r="C45" s="1536"/>
      <c r="D45" s="883" t="s">
        <v>931</v>
      </c>
      <c r="E45" s="773">
        <v>31451</v>
      </c>
      <c r="F45" s="772">
        <f aca="true" t="shared" si="25" ref="F45">SUM(G45:R45)</f>
        <v>0</v>
      </c>
      <c r="G45" s="766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1"/>
    </row>
    <row r="46" spans="1:18" ht="15">
      <c r="A46" s="1525" t="s">
        <v>115</v>
      </c>
      <c r="B46" s="1528" t="s">
        <v>231</v>
      </c>
      <c r="C46" s="1531" t="s">
        <v>236</v>
      </c>
      <c r="D46" s="866" t="s">
        <v>4</v>
      </c>
      <c r="E46" s="932">
        <v>0</v>
      </c>
      <c r="F46" s="318">
        <f t="shared" si="21"/>
        <v>0</v>
      </c>
      <c r="G46" s="933"/>
      <c r="H46" s="934"/>
      <c r="I46" s="934"/>
      <c r="J46" s="934"/>
      <c r="K46" s="934"/>
      <c r="L46" s="934"/>
      <c r="M46" s="934"/>
      <c r="N46" s="934"/>
      <c r="O46" s="934"/>
      <c r="P46" s="934"/>
      <c r="Q46" s="934"/>
      <c r="R46" s="935"/>
    </row>
    <row r="47" spans="1:18" ht="15">
      <c r="A47" s="1526"/>
      <c r="B47" s="1529"/>
      <c r="C47" s="1532"/>
      <c r="D47" s="814" t="s">
        <v>892</v>
      </c>
      <c r="E47" s="773">
        <v>407</v>
      </c>
      <c r="F47" s="773">
        <f aca="true" t="shared" si="26" ref="F47">SUM(G47:R47)</f>
        <v>615</v>
      </c>
      <c r="G47" s="765">
        <v>471</v>
      </c>
      <c r="H47" s="882">
        <v>93</v>
      </c>
      <c r="I47" s="880">
        <v>51</v>
      </c>
      <c r="J47" s="880"/>
      <c r="K47" s="880"/>
      <c r="L47" s="880"/>
      <c r="M47" s="880"/>
      <c r="N47" s="880"/>
      <c r="O47" s="880"/>
      <c r="P47" s="880"/>
      <c r="Q47" s="880"/>
      <c r="R47" s="881"/>
    </row>
    <row r="48" spans="1:18" ht="15.75" thickBot="1">
      <c r="A48" s="1527"/>
      <c r="B48" s="1530"/>
      <c r="C48" s="1533"/>
      <c r="D48" s="936" t="s">
        <v>940</v>
      </c>
      <c r="E48" s="937">
        <v>407</v>
      </c>
      <c r="F48" s="937">
        <f aca="true" t="shared" si="27" ref="F48">SUM(G48:R48)</f>
        <v>615</v>
      </c>
      <c r="G48" s="938">
        <v>471</v>
      </c>
      <c r="H48" s="939">
        <v>93</v>
      </c>
      <c r="I48" s="940">
        <v>51</v>
      </c>
      <c r="J48" s="940"/>
      <c r="K48" s="940"/>
      <c r="L48" s="940"/>
      <c r="M48" s="940"/>
      <c r="N48" s="940"/>
      <c r="O48" s="940"/>
      <c r="P48" s="940"/>
      <c r="Q48" s="940"/>
      <c r="R48" s="941"/>
    </row>
    <row r="49" spans="1:18" s="777" customFormat="1" ht="15">
      <c r="A49" s="1545"/>
      <c r="B49" s="1542"/>
      <c r="C49" s="1540" t="s">
        <v>241</v>
      </c>
      <c r="D49" s="317" t="s">
        <v>4</v>
      </c>
      <c r="E49" s="315">
        <f>E40+E43+E46</f>
        <v>29798</v>
      </c>
      <c r="F49" s="318">
        <f t="shared" si="21"/>
        <v>29798</v>
      </c>
      <c r="G49" s="904">
        <f>G40+G43+G46</f>
        <v>23370</v>
      </c>
      <c r="H49" s="905">
        <f aca="true" t="shared" si="28" ref="H49:R49">H40+H43+H46</f>
        <v>4501</v>
      </c>
      <c r="I49" s="905">
        <f t="shared" si="28"/>
        <v>1927</v>
      </c>
      <c r="J49" s="905">
        <f t="shared" si="28"/>
        <v>0</v>
      </c>
      <c r="K49" s="905">
        <f t="shared" si="28"/>
        <v>0</v>
      </c>
      <c r="L49" s="905">
        <f t="shared" si="28"/>
        <v>0</v>
      </c>
      <c r="M49" s="905">
        <f t="shared" si="28"/>
        <v>0</v>
      </c>
      <c r="N49" s="905">
        <f t="shared" si="28"/>
        <v>0</v>
      </c>
      <c r="O49" s="905">
        <f t="shared" si="28"/>
        <v>0</v>
      </c>
      <c r="P49" s="905">
        <f t="shared" si="28"/>
        <v>0</v>
      </c>
      <c r="Q49" s="905">
        <f t="shared" si="28"/>
        <v>0</v>
      </c>
      <c r="R49" s="906">
        <f t="shared" si="28"/>
        <v>0</v>
      </c>
    </row>
    <row r="50" spans="1:18" s="777" customFormat="1" ht="15">
      <c r="A50" s="1546"/>
      <c r="B50" s="1543"/>
      <c r="C50" s="1512"/>
      <c r="D50" s="894" t="s">
        <v>803</v>
      </c>
      <c r="E50" s="775">
        <f aca="true" t="shared" si="29" ref="E50:E51">E41+E44+E47</f>
        <v>31563</v>
      </c>
      <c r="F50" s="772">
        <f aca="true" t="shared" si="30" ref="F50">SUM(G50:R50)</f>
        <v>31563</v>
      </c>
      <c r="G50" s="769">
        <f aca="true" t="shared" si="31" ref="G50:R51">G41+G44+G47</f>
        <v>24502</v>
      </c>
      <c r="H50" s="885">
        <f t="shared" si="31"/>
        <v>5659</v>
      </c>
      <c r="I50" s="885">
        <f t="shared" si="31"/>
        <v>1402</v>
      </c>
      <c r="J50" s="885">
        <f t="shared" si="31"/>
        <v>0</v>
      </c>
      <c r="K50" s="885">
        <f t="shared" si="31"/>
        <v>0</v>
      </c>
      <c r="L50" s="885">
        <f t="shared" si="31"/>
        <v>0</v>
      </c>
      <c r="M50" s="885">
        <f t="shared" si="31"/>
        <v>0</v>
      </c>
      <c r="N50" s="885">
        <f t="shared" si="31"/>
        <v>0</v>
      </c>
      <c r="O50" s="885">
        <f t="shared" si="31"/>
        <v>0</v>
      </c>
      <c r="P50" s="885">
        <f t="shared" si="31"/>
        <v>0</v>
      </c>
      <c r="Q50" s="885">
        <f t="shared" si="31"/>
        <v>0</v>
      </c>
      <c r="R50" s="907">
        <f t="shared" si="31"/>
        <v>0</v>
      </c>
    </row>
    <row r="51" spans="1:18" s="777" customFormat="1" ht="15.75" thickBot="1">
      <c r="A51" s="1547"/>
      <c r="B51" s="1544"/>
      <c r="C51" s="1541"/>
      <c r="D51" s="897" t="s">
        <v>892</v>
      </c>
      <c r="E51" s="316">
        <f t="shared" si="29"/>
        <v>31858</v>
      </c>
      <c r="F51" s="319">
        <f t="shared" si="21"/>
        <v>31858</v>
      </c>
      <c r="G51" s="770">
        <f t="shared" si="31"/>
        <v>24747</v>
      </c>
      <c r="H51" s="908">
        <f t="shared" si="31"/>
        <v>5610</v>
      </c>
      <c r="I51" s="908">
        <f t="shared" si="31"/>
        <v>1501</v>
      </c>
      <c r="J51" s="908">
        <f t="shared" si="31"/>
        <v>0</v>
      </c>
      <c r="K51" s="908">
        <f t="shared" si="31"/>
        <v>0</v>
      </c>
      <c r="L51" s="908">
        <f t="shared" si="31"/>
        <v>0</v>
      </c>
      <c r="M51" s="908">
        <f t="shared" si="31"/>
        <v>0</v>
      </c>
      <c r="N51" s="908">
        <f t="shared" si="31"/>
        <v>0</v>
      </c>
      <c r="O51" s="908">
        <f t="shared" si="31"/>
        <v>0</v>
      </c>
      <c r="P51" s="908">
        <f t="shared" si="31"/>
        <v>0</v>
      </c>
      <c r="Q51" s="908">
        <f t="shared" si="31"/>
        <v>0</v>
      </c>
      <c r="R51" s="909">
        <f t="shared" si="31"/>
        <v>0</v>
      </c>
    </row>
    <row r="52" spans="1:18" ht="15.75" thickBot="1">
      <c r="A52" s="1507" t="s">
        <v>240</v>
      </c>
      <c r="B52" s="1508"/>
      <c r="C52" s="1508"/>
      <c r="D52" s="900"/>
      <c r="E52" s="876"/>
      <c r="F52" s="876"/>
      <c r="G52" s="877"/>
      <c r="H52" s="878"/>
      <c r="I52" s="878"/>
      <c r="J52" s="878"/>
      <c r="K52" s="910"/>
      <c r="L52" s="910"/>
      <c r="M52" s="878"/>
      <c r="N52" s="910"/>
      <c r="O52" s="878"/>
      <c r="P52" s="878"/>
      <c r="Q52" s="878"/>
      <c r="R52" s="879"/>
    </row>
    <row r="53" spans="1:18" ht="15">
      <c r="A53" s="1525" t="s">
        <v>115</v>
      </c>
      <c r="B53" s="1528" t="s">
        <v>116</v>
      </c>
      <c r="C53" s="1531" t="s">
        <v>219</v>
      </c>
      <c r="D53" s="866" t="s">
        <v>4</v>
      </c>
      <c r="E53" s="932">
        <v>10718</v>
      </c>
      <c r="F53" s="318">
        <f aca="true" t="shared" si="32" ref="F53:F64">SUM(G53:R53)</f>
        <v>31718</v>
      </c>
      <c r="G53" s="933">
        <v>21873</v>
      </c>
      <c r="H53" s="934">
        <v>5703</v>
      </c>
      <c r="I53" s="934">
        <v>3542</v>
      </c>
      <c r="J53" s="934"/>
      <c r="K53" s="934"/>
      <c r="L53" s="934"/>
      <c r="M53" s="934">
        <v>600</v>
      </c>
      <c r="N53" s="934"/>
      <c r="O53" s="934"/>
      <c r="P53" s="934"/>
      <c r="Q53" s="934"/>
      <c r="R53" s="935"/>
    </row>
    <row r="54" spans="1:18" ht="15">
      <c r="A54" s="1526"/>
      <c r="B54" s="1529"/>
      <c r="C54" s="1532"/>
      <c r="D54" s="814" t="s">
        <v>892</v>
      </c>
      <c r="E54" s="773">
        <v>0</v>
      </c>
      <c r="F54" s="773">
        <f aca="true" t="shared" si="33" ref="F54">SUM(G54:R54)</f>
        <v>32161</v>
      </c>
      <c r="G54" s="765">
        <v>22166</v>
      </c>
      <c r="H54" s="882">
        <v>5853</v>
      </c>
      <c r="I54" s="880">
        <v>3542</v>
      </c>
      <c r="J54" s="880"/>
      <c r="K54" s="880"/>
      <c r="L54" s="880"/>
      <c r="M54" s="880">
        <v>600</v>
      </c>
      <c r="N54" s="880"/>
      <c r="O54" s="880"/>
      <c r="P54" s="880"/>
      <c r="Q54" s="880"/>
      <c r="R54" s="881"/>
    </row>
    <row r="55" spans="1:18" ht="15.75" thickBot="1">
      <c r="A55" s="1527"/>
      <c r="B55" s="1530"/>
      <c r="C55" s="1533"/>
      <c r="D55" s="936" t="s">
        <v>940</v>
      </c>
      <c r="E55" s="937">
        <v>0</v>
      </c>
      <c r="F55" s="937">
        <f aca="true" t="shared" si="34" ref="F55">SUM(G55:R55)</f>
        <v>32161</v>
      </c>
      <c r="G55" s="938">
        <v>22166</v>
      </c>
      <c r="H55" s="939">
        <v>5853</v>
      </c>
      <c r="I55" s="940">
        <v>3542</v>
      </c>
      <c r="J55" s="940"/>
      <c r="K55" s="940"/>
      <c r="L55" s="940"/>
      <c r="M55" s="940">
        <v>600</v>
      </c>
      <c r="N55" s="940"/>
      <c r="O55" s="940"/>
      <c r="P55" s="940"/>
      <c r="Q55" s="940"/>
      <c r="R55" s="941"/>
    </row>
    <row r="56" spans="1:18" ht="15">
      <c r="A56" s="1537" t="s">
        <v>115</v>
      </c>
      <c r="B56" s="1538" t="s">
        <v>136</v>
      </c>
      <c r="C56" s="1539" t="s">
        <v>137</v>
      </c>
      <c r="D56" s="814" t="s">
        <v>4</v>
      </c>
      <c r="E56" s="775">
        <v>21000</v>
      </c>
      <c r="F56" s="772">
        <f t="shared" si="32"/>
        <v>0</v>
      </c>
      <c r="G56" s="764"/>
      <c r="H56" s="880"/>
      <c r="I56" s="880"/>
      <c r="J56" s="880"/>
      <c r="K56" s="880"/>
      <c r="L56" s="880"/>
      <c r="M56" s="880"/>
      <c r="N56" s="880"/>
      <c r="O56" s="880"/>
      <c r="P56" s="880"/>
      <c r="Q56" s="880"/>
      <c r="R56" s="881"/>
    </row>
    <row r="57" spans="1:18" ht="15">
      <c r="A57" s="1526"/>
      <c r="B57" s="1529"/>
      <c r="C57" s="1532"/>
      <c r="D57" s="814" t="s">
        <v>892</v>
      </c>
      <c r="E57" s="775">
        <v>32356</v>
      </c>
      <c r="F57" s="772">
        <f aca="true" t="shared" si="35" ref="F57">SUM(G57:R57)</f>
        <v>0</v>
      </c>
      <c r="G57" s="764"/>
      <c r="H57" s="880"/>
      <c r="I57" s="880"/>
      <c r="J57" s="880"/>
      <c r="K57" s="880"/>
      <c r="L57" s="880"/>
      <c r="M57" s="880"/>
      <c r="N57" s="880"/>
      <c r="O57" s="880"/>
      <c r="P57" s="880"/>
      <c r="Q57" s="880"/>
      <c r="R57" s="881"/>
    </row>
    <row r="58" spans="1:18" ht="15.75" thickBot="1">
      <c r="A58" s="1534"/>
      <c r="B58" s="1535"/>
      <c r="C58" s="1536"/>
      <c r="D58" s="883" t="s">
        <v>940</v>
      </c>
      <c r="E58" s="775">
        <v>32356</v>
      </c>
      <c r="F58" s="772">
        <f t="shared" si="32"/>
        <v>0</v>
      </c>
      <c r="G58" s="764"/>
      <c r="H58" s="880"/>
      <c r="I58" s="880"/>
      <c r="J58" s="880"/>
      <c r="K58" s="880"/>
      <c r="L58" s="880"/>
      <c r="M58" s="880"/>
      <c r="N58" s="880"/>
      <c r="O58" s="880"/>
      <c r="P58" s="880"/>
      <c r="Q58" s="880"/>
      <c r="R58" s="881"/>
    </row>
    <row r="59" spans="1:18" ht="15">
      <c r="A59" s="1525" t="s">
        <v>115</v>
      </c>
      <c r="B59" s="1528" t="s">
        <v>231</v>
      </c>
      <c r="C59" s="1531" t="s">
        <v>236</v>
      </c>
      <c r="D59" s="866" t="s">
        <v>4</v>
      </c>
      <c r="E59" s="932"/>
      <c r="F59" s="318">
        <f t="shared" si="32"/>
        <v>0</v>
      </c>
      <c r="G59" s="933"/>
      <c r="H59" s="934"/>
      <c r="I59" s="934"/>
      <c r="J59" s="934"/>
      <c r="K59" s="934"/>
      <c r="L59" s="934"/>
      <c r="M59" s="934"/>
      <c r="N59" s="934"/>
      <c r="O59" s="934"/>
      <c r="P59" s="934"/>
      <c r="Q59" s="934"/>
      <c r="R59" s="935"/>
    </row>
    <row r="60" spans="1:18" ht="15">
      <c r="A60" s="1526"/>
      <c r="B60" s="1529"/>
      <c r="C60" s="1532"/>
      <c r="D60" s="814" t="s">
        <v>892</v>
      </c>
      <c r="E60" s="773">
        <v>407</v>
      </c>
      <c r="F60" s="773">
        <f aca="true" t="shared" si="36" ref="F60">SUM(G60:R60)</f>
        <v>602</v>
      </c>
      <c r="G60" s="765">
        <v>463</v>
      </c>
      <c r="H60" s="882">
        <v>99</v>
      </c>
      <c r="I60" s="880">
        <v>40</v>
      </c>
      <c r="J60" s="880"/>
      <c r="K60" s="880"/>
      <c r="L60" s="880"/>
      <c r="M60" s="880"/>
      <c r="N60" s="880"/>
      <c r="O60" s="880"/>
      <c r="P60" s="880"/>
      <c r="Q60" s="880"/>
      <c r="R60" s="881"/>
    </row>
    <row r="61" spans="1:18" ht="15.75" thickBot="1">
      <c r="A61" s="1527"/>
      <c r="B61" s="1530"/>
      <c r="C61" s="1533"/>
      <c r="D61" s="936" t="s">
        <v>940</v>
      </c>
      <c r="E61" s="937">
        <v>407</v>
      </c>
      <c r="F61" s="937">
        <f aca="true" t="shared" si="37" ref="F61">SUM(G61:R61)</f>
        <v>602</v>
      </c>
      <c r="G61" s="938">
        <v>463</v>
      </c>
      <c r="H61" s="939">
        <v>99</v>
      </c>
      <c r="I61" s="940">
        <v>40</v>
      </c>
      <c r="J61" s="940"/>
      <c r="K61" s="940"/>
      <c r="L61" s="940"/>
      <c r="M61" s="940"/>
      <c r="N61" s="940"/>
      <c r="O61" s="940"/>
      <c r="P61" s="940"/>
      <c r="Q61" s="940"/>
      <c r="R61" s="941"/>
    </row>
    <row r="62" spans="1:18" s="777" customFormat="1" ht="15">
      <c r="A62" s="1545"/>
      <c r="B62" s="1542"/>
      <c r="C62" s="1540" t="s">
        <v>242</v>
      </c>
      <c r="D62" s="317" t="s">
        <v>4</v>
      </c>
      <c r="E62" s="315">
        <f>E53+E56+E59</f>
        <v>31718</v>
      </c>
      <c r="F62" s="318">
        <f t="shared" si="32"/>
        <v>31718</v>
      </c>
      <c r="G62" s="904">
        <f aca="true" t="shared" si="38" ref="G62:R62">G53+G56+G59</f>
        <v>21873</v>
      </c>
      <c r="H62" s="905">
        <f t="shared" si="38"/>
        <v>5703</v>
      </c>
      <c r="I62" s="905">
        <f t="shared" si="38"/>
        <v>3542</v>
      </c>
      <c r="J62" s="905">
        <f t="shared" si="38"/>
        <v>0</v>
      </c>
      <c r="K62" s="905">
        <f t="shared" si="38"/>
        <v>0</v>
      </c>
      <c r="L62" s="905">
        <f t="shared" si="38"/>
        <v>0</v>
      </c>
      <c r="M62" s="905">
        <f t="shared" si="38"/>
        <v>600</v>
      </c>
      <c r="N62" s="905">
        <f t="shared" si="38"/>
        <v>0</v>
      </c>
      <c r="O62" s="905">
        <f t="shared" si="38"/>
        <v>0</v>
      </c>
      <c r="P62" s="905">
        <f t="shared" si="38"/>
        <v>0</v>
      </c>
      <c r="Q62" s="905">
        <f t="shared" si="38"/>
        <v>0</v>
      </c>
      <c r="R62" s="906">
        <f t="shared" si="38"/>
        <v>0</v>
      </c>
    </row>
    <row r="63" spans="1:18" s="777" customFormat="1" ht="15">
      <c r="A63" s="1546"/>
      <c r="B63" s="1543"/>
      <c r="C63" s="1512"/>
      <c r="D63" s="894" t="s">
        <v>803</v>
      </c>
      <c r="E63" s="775">
        <f>E54+E57+E60</f>
        <v>32763</v>
      </c>
      <c r="F63" s="772">
        <f aca="true" t="shared" si="39" ref="F63">SUM(G63:R63)</f>
        <v>32763</v>
      </c>
      <c r="G63" s="769">
        <f aca="true" t="shared" si="40" ref="G63:R64">G54+G57+G60</f>
        <v>22629</v>
      </c>
      <c r="H63" s="885">
        <f t="shared" si="40"/>
        <v>5952</v>
      </c>
      <c r="I63" s="885">
        <f t="shared" si="40"/>
        <v>3582</v>
      </c>
      <c r="J63" s="885">
        <f t="shared" si="40"/>
        <v>0</v>
      </c>
      <c r="K63" s="885">
        <f t="shared" si="40"/>
        <v>0</v>
      </c>
      <c r="L63" s="885">
        <f t="shared" si="40"/>
        <v>0</v>
      </c>
      <c r="M63" s="885">
        <f t="shared" si="40"/>
        <v>600</v>
      </c>
      <c r="N63" s="885">
        <f t="shared" si="40"/>
        <v>0</v>
      </c>
      <c r="O63" s="885">
        <f t="shared" si="40"/>
        <v>0</v>
      </c>
      <c r="P63" s="885">
        <f t="shared" si="40"/>
        <v>0</v>
      </c>
      <c r="Q63" s="885">
        <f t="shared" si="40"/>
        <v>0</v>
      </c>
      <c r="R63" s="907">
        <f t="shared" si="40"/>
        <v>0</v>
      </c>
    </row>
    <row r="64" spans="1:18" s="777" customFormat="1" ht="15.75" thickBot="1">
      <c r="A64" s="1547"/>
      <c r="B64" s="1544"/>
      <c r="C64" s="1541"/>
      <c r="D64" s="897" t="s">
        <v>892</v>
      </c>
      <c r="E64" s="316">
        <f>E55+E58+E61</f>
        <v>32763</v>
      </c>
      <c r="F64" s="319">
        <f t="shared" si="32"/>
        <v>32763</v>
      </c>
      <c r="G64" s="770">
        <f t="shared" si="40"/>
        <v>22629</v>
      </c>
      <c r="H64" s="908">
        <f t="shared" si="40"/>
        <v>5952</v>
      </c>
      <c r="I64" s="908">
        <f t="shared" si="40"/>
        <v>3582</v>
      </c>
      <c r="J64" s="908">
        <f t="shared" si="40"/>
        <v>0</v>
      </c>
      <c r="K64" s="908">
        <f t="shared" si="40"/>
        <v>0</v>
      </c>
      <c r="L64" s="908">
        <f t="shared" si="40"/>
        <v>0</v>
      </c>
      <c r="M64" s="908">
        <f t="shared" si="40"/>
        <v>600</v>
      </c>
      <c r="N64" s="908">
        <f t="shared" si="40"/>
        <v>0</v>
      </c>
      <c r="O64" s="908">
        <f t="shared" si="40"/>
        <v>0</v>
      </c>
      <c r="P64" s="908">
        <f t="shared" si="40"/>
        <v>0</v>
      </c>
      <c r="Q64" s="908">
        <f t="shared" si="40"/>
        <v>0</v>
      </c>
      <c r="R64" s="909">
        <f t="shared" si="40"/>
        <v>0</v>
      </c>
    </row>
    <row r="65" spans="1:18" ht="15.75" thickBot="1">
      <c r="A65" s="1509" t="s">
        <v>243</v>
      </c>
      <c r="B65" s="1510"/>
      <c r="C65" s="1510"/>
      <c r="D65" s="883"/>
      <c r="E65" s="772"/>
      <c r="F65" s="772"/>
      <c r="G65" s="766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1"/>
    </row>
    <row r="66" spans="1:18" ht="15">
      <c r="A66" s="1525" t="s">
        <v>115</v>
      </c>
      <c r="B66" s="1528" t="s">
        <v>116</v>
      </c>
      <c r="C66" s="1531" t="s">
        <v>219</v>
      </c>
      <c r="D66" s="866" t="s">
        <v>4</v>
      </c>
      <c r="E66" s="932">
        <v>9521</v>
      </c>
      <c r="F66" s="318">
        <f aca="true" t="shared" si="41" ref="F66:F92">SUM(G66:R66)</f>
        <v>15521</v>
      </c>
      <c r="G66" s="933">
        <v>11301</v>
      </c>
      <c r="H66" s="934">
        <v>2541</v>
      </c>
      <c r="I66" s="934">
        <v>1529</v>
      </c>
      <c r="J66" s="934"/>
      <c r="K66" s="934"/>
      <c r="L66" s="934"/>
      <c r="M66" s="934">
        <v>150</v>
      </c>
      <c r="N66" s="934"/>
      <c r="O66" s="934"/>
      <c r="P66" s="934"/>
      <c r="Q66" s="934"/>
      <c r="R66" s="935"/>
    </row>
    <row r="67" spans="1:18" ht="15">
      <c r="A67" s="1526"/>
      <c r="B67" s="1529"/>
      <c r="C67" s="1532"/>
      <c r="D67" s="814" t="s">
        <v>892</v>
      </c>
      <c r="E67" s="773">
        <v>0</v>
      </c>
      <c r="F67" s="773">
        <f aca="true" t="shared" si="42" ref="F67">SUM(G67:R67)</f>
        <v>16011</v>
      </c>
      <c r="G67" s="765">
        <v>11437</v>
      </c>
      <c r="H67" s="882">
        <v>2569</v>
      </c>
      <c r="I67" s="880">
        <v>1855</v>
      </c>
      <c r="J67" s="880"/>
      <c r="K67" s="880"/>
      <c r="L67" s="880"/>
      <c r="M67" s="880">
        <v>150</v>
      </c>
      <c r="N67" s="880"/>
      <c r="O67" s="880"/>
      <c r="P67" s="880"/>
      <c r="Q67" s="880"/>
      <c r="R67" s="881"/>
    </row>
    <row r="68" spans="1:18" ht="15.75" thickBot="1">
      <c r="A68" s="1527"/>
      <c r="B68" s="1530"/>
      <c r="C68" s="1533"/>
      <c r="D68" s="936" t="s">
        <v>940</v>
      </c>
      <c r="E68" s="937">
        <v>0</v>
      </c>
      <c r="F68" s="937">
        <f aca="true" t="shared" si="43" ref="F68">SUM(G68:R68)</f>
        <v>16024</v>
      </c>
      <c r="G68" s="938">
        <v>11448</v>
      </c>
      <c r="H68" s="939">
        <v>2571</v>
      </c>
      <c r="I68" s="940">
        <v>1855</v>
      </c>
      <c r="J68" s="940"/>
      <c r="K68" s="940"/>
      <c r="L68" s="940"/>
      <c r="M68" s="940">
        <v>150</v>
      </c>
      <c r="N68" s="940"/>
      <c r="O68" s="940"/>
      <c r="P68" s="940"/>
      <c r="Q68" s="940"/>
      <c r="R68" s="941"/>
    </row>
    <row r="69" spans="1:18" ht="15">
      <c r="A69" s="1537" t="s">
        <v>115</v>
      </c>
      <c r="B69" s="1538" t="s">
        <v>136</v>
      </c>
      <c r="C69" s="1539" t="s">
        <v>137</v>
      </c>
      <c r="D69" s="814" t="s">
        <v>4</v>
      </c>
      <c r="E69" s="772">
        <v>6000</v>
      </c>
      <c r="F69" s="772">
        <f t="shared" si="41"/>
        <v>0</v>
      </c>
      <c r="G69" s="764"/>
      <c r="H69" s="880"/>
      <c r="I69" s="880"/>
      <c r="J69" s="880"/>
      <c r="K69" s="880"/>
      <c r="L69" s="880"/>
      <c r="M69" s="880"/>
      <c r="N69" s="880"/>
      <c r="O69" s="880"/>
      <c r="P69" s="880"/>
      <c r="Q69" s="880"/>
      <c r="R69" s="881"/>
    </row>
    <row r="70" spans="1:18" ht="15">
      <c r="A70" s="1526"/>
      <c r="B70" s="1529"/>
      <c r="C70" s="1532"/>
      <c r="D70" s="814" t="s">
        <v>892</v>
      </c>
      <c r="E70" s="772">
        <v>16015</v>
      </c>
      <c r="F70" s="772">
        <f aca="true" t="shared" si="44" ref="F70">SUM(G70:R70)</f>
        <v>0</v>
      </c>
      <c r="G70" s="764"/>
      <c r="H70" s="880"/>
      <c r="I70" s="880"/>
      <c r="J70" s="880"/>
      <c r="K70" s="880"/>
      <c r="L70" s="880"/>
      <c r="M70" s="880"/>
      <c r="N70" s="880"/>
      <c r="O70" s="880"/>
      <c r="P70" s="880"/>
      <c r="Q70" s="880"/>
      <c r="R70" s="881"/>
    </row>
    <row r="71" spans="1:18" ht="15.75" thickBot="1">
      <c r="A71" s="1534"/>
      <c r="B71" s="1535"/>
      <c r="C71" s="1536"/>
      <c r="D71" s="883" t="s">
        <v>940</v>
      </c>
      <c r="E71" s="772">
        <v>16028</v>
      </c>
      <c r="F71" s="772">
        <f t="shared" si="41"/>
        <v>0</v>
      </c>
      <c r="G71" s="764"/>
      <c r="H71" s="880"/>
      <c r="I71" s="880"/>
      <c r="J71" s="880"/>
      <c r="K71" s="880"/>
      <c r="L71" s="880"/>
      <c r="M71" s="880"/>
      <c r="N71" s="880"/>
      <c r="O71" s="880"/>
      <c r="P71" s="880"/>
      <c r="Q71" s="880"/>
      <c r="R71" s="881"/>
    </row>
    <row r="72" spans="1:18" ht="15">
      <c r="A72" s="1525" t="s">
        <v>115</v>
      </c>
      <c r="B72" s="1528" t="s">
        <v>231</v>
      </c>
      <c r="C72" s="1531" t="s">
        <v>236</v>
      </c>
      <c r="D72" s="866" t="s">
        <v>4</v>
      </c>
      <c r="E72" s="932">
        <v>0</v>
      </c>
      <c r="F72" s="318">
        <f t="shared" si="41"/>
        <v>0</v>
      </c>
      <c r="G72" s="933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5"/>
    </row>
    <row r="73" spans="1:18" ht="15">
      <c r="A73" s="1526"/>
      <c r="B73" s="1529"/>
      <c r="C73" s="1532"/>
      <c r="D73" s="814" t="s">
        <v>892</v>
      </c>
      <c r="E73" s="773">
        <v>287</v>
      </c>
      <c r="F73" s="773">
        <f aca="true" t="shared" si="45" ref="F73">SUM(G73:R73)</f>
        <v>291</v>
      </c>
      <c r="G73" s="765">
        <v>220</v>
      </c>
      <c r="H73" s="882">
        <v>44</v>
      </c>
      <c r="I73" s="880">
        <v>27</v>
      </c>
      <c r="J73" s="880"/>
      <c r="K73" s="880"/>
      <c r="L73" s="880"/>
      <c r="M73" s="880"/>
      <c r="N73" s="880"/>
      <c r="O73" s="880"/>
      <c r="P73" s="880"/>
      <c r="Q73" s="880"/>
      <c r="R73" s="881"/>
    </row>
    <row r="74" spans="1:18" ht="15.75" thickBot="1">
      <c r="A74" s="1527"/>
      <c r="B74" s="1530"/>
      <c r="C74" s="1533"/>
      <c r="D74" s="936" t="s">
        <v>940</v>
      </c>
      <c r="E74" s="937">
        <v>287</v>
      </c>
      <c r="F74" s="937">
        <f aca="true" t="shared" si="46" ref="F74">SUM(G74:R74)</f>
        <v>291</v>
      </c>
      <c r="G74" s="938">
        <v>220</v>
      </c>
      <c r="H74" s="939">
        <v>44</v>
      </c>
      <c r="I74" s="940">
        <v>27</v>
      </c>
      <c r="J74" s="940"/>
      <c r="K74" s="940"/>
      <c r="L74" s="940"/>
      <c r="M74" s="940"/>
      <c r="N74" s="940"/>
      <c r="O74" s="940"/>
      <c r="P74" s="940"/>
      <c r="Q74" s="940"/>
      <c r="R74" s="941"/>
    </row>
    <row r="75" spans="1:18" s="777" customFormat="1" ht="15">
      <c r="A75" s="1545"/>
      <c r="B75" s="1542"/>
      <c r="C75" s="1540" t="s">
        <v>244</v>
      </c>
      <c r="D75" s="317" t="s">
        <v>4</v>
      </c>
      <c r="E75" s="318">
        <f aca="true" t="shared" si="47" ref="E75:E77">E66+E69+E72</f>
        <v>15521</v>
      </c>
      <c r="F75" s="318">
        <f t="shared" si="41"/>
        <v>15521</v>
      </c>
      <c r="G75" s="904">
        <f>G66+G69+G72</f>
        <v>11301</v>
      </c>
      <c r="H75" s="905">
        <f aca="true" t="shared" si="48" ref="H75:R75">H66+H69+H72</f>
        <v>2541</v>
      </c>
      <c r="I75" s="905">
        <f t="shared" si="48"/>
        <v>1529</v>
      </c>
      <c r="J75" s="905">
        <f t="shared" si="48"/>
        <v>0</v>
      </c>
      <c r="K75" s="905">
        <f t="shared" si="48"/>
        <v>0</v>
      </c>
      <c r="L75" s="905">
        <f t="shared" si="48"/>
        <v>0</v>
      </c>
      <c r="M75" s="905">
        <f t="shared" si="48"/>
        <v>150</v>
      </c>
      <c r="N75" s="905">
        <f t="shared" si="48"/>
        <v>0</v>
      </c>
      <c r="O75" s="905">
        <f t="shared" si="48"/>
        <v>0</v>
      </c>
      <c r="P75" s="905">
        <f t="shared" si="48"/>
        <v>0</v>
      </c>
      <c r="Q75" s="905">
        <f t="shared" si="48"/>
        <v>0</v>
      </c>
      <c r="R75" s="906">
        <f t="shared" si="48"/>
        <v>0</v>
      </c>
    </row>
    <row r="76" spans="1:18" s="777" customFormat="1" ht="15">
      <c r="A76" s="1546"/>
      <c r="B76" s="1543"/>
      <c r="C76" s="1512"/>
      <c r="D76" s="911" t="s">
        <v>803</v>
      </c>
      <c r="E76" s="772">
        <f t="shared" si="47"/>
        <v>16302</v>
      </c>
      <c r="F76" s="772">
        <f aca="true" t="shared" si="49" ref="F76">SUM(G76:R76)</f>
        <v>16302</v>
      </c>
      <c r="G76" s="769">
        <f aca="true" t="shared" si="50" ref="G76:R77">G67+G70+G73</f>
        <v>11657</v>
      </c>
      <c r="H76" s="885">
        <f t="shared" si="50"/>
        <v>2613</v>
      </c>
      <c r="I76" s="885">
        <f t="shared" si="50"/>
        <v>1882</v>
      </c>
      <c r="J76" s="885">
        <f t="shared" si="50"/>
        <v>0</v>
      </c>
      <c r="K76" s="885">
        <f t="shared" si="50"/>
        <v>0</v>
      </c>
      <c r="L76" s="885">
        <f t="shared" si="50"/>
        <v>0</v>
      </c>
      <c r="M76" s="885">
        <f t="shared" si="50"/>
        <v>150</v>
      </c>
      <c r="N76" s="885">
        <f t="shared" si="50"/>
        <v>0</v>
      </c>
      <c r="O76" s="885">
        <f t="shared" si="50"/>
        <v>0</v>
      </c>
      <c r="P76" s="885">
        <f t="shared" si="50"/>
        <v>0</v>
      </c>
      <c r="Q76" s="885">
        <f t="shared" si="50"/>
        <v>0</v>
      </c>
      <c r="R76" s="907">
        <f t="shared" si="50"/>
        <v>0</v>
      </c>
    </row>
    <row r="77" spans="1:18" s="777" customFormat="1" ht="15.75" thickBot="1">
      <c r="A77" s="1547"/>
      <c r="B77" s="1544"/>
      <c r="C77" s="1541"/>
      <c r="D77" s="912" t="s">
        <v>917</v>
      </c>
      <c r="E77" s="319">
        <f t="shared" si="47"/>
        <v>16315</v>
      </c>
      <c r="F77" s="319">
        <f t="shared" si="41"/>
        <v>16315</v>
      </c>
      <c r="G77" s="770">
        <f t="shared" si="50"/>
        <v>11668</v>
      </c>
      <c r="H77" s="908">
        <f t="shared" si="50"/>
        <v>2615</v>
      </c>
      <c r="I77" s="908">
        <f t="shared" si="50"/>
        <v>1882</v>
      </c>
      <c r="J77" s="908">
        <f t="shared" si="50"/>
        <v>0</v>
      </c>
      <c r="K77" s="908">
        <f t="shared" si="50"/>
        <v>0</v>
      </c>
      <c r="L77" s="908">
        <f t="shared" si="50"/>
        <v>0</v>
      </c>
      <c r="M77" s="908">
        <f t="shared" si="50"/>
        <v>150</v>
      </c>
      <c r="N77" s="908">
        <f t="shared" si="50"/>
        <v>0</v>
      </c>
      <c r="O77" s="908">
        <f t="shared" si="50"/>
        <v>0</v>
      </c>
      <c r="P77" s="908">
        <f t="shared" si="50"/>
        <v>0</v>
      </c>
      <c r="Q77" s="908">
        <f t="shared" si="50"/>
        <v>0</v>
      </c>
      <c r="R77" s="909">
        <f t="shared" si="50"/>
        <v>0</v>
      </c>
    </row>
    <row r="78" spans="1:18" s="777" customFormat="1" ht="15">
      <c r="A78" s="1545"/>
      <c r="B78" s="1542"/>
      <c r="C78" s="1540" t="s">
        <v>245</v>
      </c>
      <c r="D78" s="844" t="s">
        <v>4</v>
      </c>
      <c r="E78" s="772">
        <f>E49+E62+E75</f>
        <v>77037</v>
      </c>
      <c r="F78" s="772">
        <f t="shared" si="41"/>
        <v>77037</v>
      </c>
      <c r="G78" s="769">
        <f aca="true" t="shared" si="51" ref="G78:R78">G49+G62+G75</f>
        <v>56544</v>
      </c>
      <c r="H78" s="885">
        <f t="shared" si="51"/>
        <v>12745</v>
      </c>
      <c r="I78" s="885">
        <f t="shared" si="51"/>
        <v>6998</v>
      </c>
      <c r="J78" s="885">
        <f t="shared" si="51"/>
        <v>0</v>
      </c>
      <c r="K78" s="885">
        <f t="shared" si="51"/>
        <v>0</v>
      </c>
      <c r="L78" s="885">
        <f t="shared" si="51"/>
        <v>0</v>
      </c>
      <c r="M78" s="885">
        <f t="shared" si="51"/>
        <v>750</v>
      </c>
      <c r="N78" s="885">
        <f t="shared" si="51"/>
        <v>0</v>
      </c>
      <c r="O78" s="885">
        <f t="shared" si="51"/>
        <v>0</v>
      </c>
      <c r="P78" s="885">
        <f t="shared" si="51"/>
        <v>0</v>
      </c>
      <c r="Q78" s="885">
        <f t="shared" si="51"/>
        <v>0</v>
      </c>
      <c r="R78" s="907">
        <f t="shared" si="51"/>
        <v>0</v>
      </c>
    </row>
    <row r="79" spans="1:18" s="777" customFormat="1" ht="15">
      <c r="A79" s="1546"/>
      <c r="B79" s="1543"/>
      <c r="C79" s="1512"/>
      <c r="D79" s="844" t="s">
        <v>803</v>
      </c>
      <c r="E79" s="772">
        <f>E50+E63+E76</f>
        <v>80628</v>
      </c>
      <c r="F79" s="772">
        <f aca="true" t="shared" si="52" ref="F79">SUM(G79:R79)</f>
        <v>80628</v>
      </c>
      <c r="G79" s="769">
        <f aca="true" t="shared" si="53" ref="G79:R80">G50+G63+G76</f>
        <v>58788</v>
      </c>
      <c r="H79" s="885">
        <f t="shared" si="53"/>
        <v>14224</v>
      </c>
      <c r="I79" s="885">
        <f t="shared" si="53"/>
        <v>6866</v>
      </c>
      <c r="J79" s="885">
        <f t="shared" si="53"/>
        <v>0</v>
      </c>
      <c r="K79" s="885">
        <f t="shared" si="53"/>
        <v>0</v>
      </c>
      <c r="L79" s="885">
        <f t="shared" si="53"/>
        <v>0</v>
      </c>
      <c r="M79" s="885">
        <f t="shared" si="53"/>
        <v>750</v>
      </c>
      <c r="N79" s="885">
        <f t="shared" si="53"/>
        <v>0</v>
      </c>
      <c r="O79" s="885">
        <f t="shared" si="53"/>
        <v>0</v>
      </c>
      <c r="P79" s="885">
        <f t="shared" si="53"/>
        <v>0</v>
      </c>
      <c r="Q79" s="885">
        <f t="shared" si="53"/>
        <v>0</v>
      </c>
      <c r="R79" s="907">
        <f t="shared" si="53"/>
        <v>0</v>
      </c>
    </row>
    <row r="80" spans="1:18" s="777" customFormat="1" ht="15.75" thickBot="1">
      <c r="A80" s="1546"/>
      <c r="B80" s="1543"/>
      <c r="C80" s="1512"/>
      <c r="D80" s="942" t="s">
        <v>917</v>
      </c>
      <c r="E80" s="774">
        <f>E51+E64+E77</f>
        <v>80936</v>
      </c>
      <c r="F80" s="774">
        <f t="shared" si="41"/>
        <v>80936</v>
      </c>
      <c r="G80" s="917">
        <f t="shared" si="53"/>
        <v>59044</v>
      </c>
      <c r="H80" s="918">
        <f t="shared" si="53"/>
        <v>14177</v>
      </c>
      <c r="I80" s="918">
        <f t="shared" si="53"/>
        <v>6965</v>
      </c>
      <c r="J80" s="918">
        <f t="shared" si="53"/>
        <v>0</v>
      </c>
      <c r="K80" s="918">
        <f t="shared" si="53"/>
        <v>0</v>
      </c>
      <c r="L80" s="918">
        <f t="shared" si="53"/>
        <v>0</v>
      </c>
      <c r="M80" s="918">
        <f t="shared" si="53"/>
        <v>750</v>
      </c>
      <c r="N80" s="918">
        <f t="shared" si="53"/>
        <v>0</v>
      </c>
      <c r="O80" s="918">
        <f t="shared" si="53"/>
        <v>0</v>
      </c>
      <c r="P80" s="918">
        <f t="shared" si="53"/>
        <v>0</v>
      </c>
      <c r="Q80" s="918">
        <f t="shared" si="53"/>
        <v>0</v>
      </c>
      <c r="R80" s="919">
        <f t="shared" si="53"/>
        <v>0</v>
      </c>
    </row>
    <row r="81" spans="1:18" s="777" customFormat="1" ht="15.75" thickTop="1">
      <c r="A81" s="1548"/>
      <c r="B81" s="1550"/>
      <c r="C81" s="1552" t="s">
        <v>246</v>
      </c>
      <c r="D81" s="944" t="s">
        <v>4</v>
      </c>
      <c r="E81" s="945">
        <f>E36+E78</f>
        <v>820325</v>
      </c>
      <c r="F81" s="945">
        <f t="shared" si="41"/>
        <v>820325</v>
      </c>
      <c r="G81" s="946">
        <f aca="true" t="shared" si="54" ref="G81:R81">G36+G78</f>
        <v>518371</v>
      </c>
      <c r="H81" s="947">
        <f t="shared" si="54"/>
        <v>119114</v>
      </c>
      <c r="I81" s="947">
        <f t="shared" si="54"/>
        <v>170175</v>
      </c>
      <c r="J81" s="947">
        <f t="shared" si="54"/>
        <v>0</v>
      </c>
      <c r="K81" s="947">
        <f t="shared" si="54"/>
        <v>0</v>
      </c>
      <c r="L81" s="947">
        <f t="shared" si="54"/>
        <v>0</v>
      </c>
      <c r="M81" s="947">
        <f t="shared" si="54"/>
        <v>11465</v>
      </c>
      <c r="N81" s="947">
        <f t="shared" si="54"/>
        <v>0</v>
      </c>
      <c r="O81" s="947">
        <f t="shared" si="54"/>
        <v>1200</v>
      </c>
      <c r="P81" s="947">
        <f t="shared" si="54"/>
        <v>0</v>
      </c>
      <c r="Q81" s="947">
        <f t="shared" si="54"/>
        <v>0</v>
      </c>
      <c r="R81" s="948">
        <f t="shared" si="54"/>
        <v>0</v>
      </c>
    </row>
    <row r="82" spans="1:18" s="777" customFormat="1" ht="15">
      <c r="A82" s="1546"/>
      <c r="B82" s="1543"/>
      <c r="C82" s="1512"/>
      <c r="D82" s="911" t="s">
        <v>803</v>
      </c>
      <c r="E82" s="776">
        <f>E37+E79</f>
        <v>957983</v>
      </c>
      <c r="F82" s="776">
        <f aca="true" t="shared" si="55" ref="F82">SUM(G82:R82)</f>
        <v>957683</v>
      </c>
      <c r="G82" s="771">
        <f aca="true" t="shared" si="56" ref="G82:R83">G37+G79</f>
        <v>556885</v>
      </c>
      <c r="H82" s="913">
        <f t="shared" si="56"/>
        <v>132308</v>
      </c>
      <c r="I82" s="913">
        <f t="shared" si="56"/>
        <v>239048</v>
      </c>
      <c r="J82" s="913">
        <f t="shared" si="56"/>
        <v>118</v>
      </c>
      <c r="K82" s="913">
        <f t="shared" si="56"/>
        <v>0</v>
      </c>
      <c r="L82" s="913">
        <f t="shared" si="56"/>
        <v>0</v>
      </c>
      <c r="M82" s="913">
        <f t="shared" si="56"/>
        <v>28124</v>
      </c>
      <c r="N82" s="913">
        <f t="shared" si="56"/>
        <v>0</v>
      </c>
      <c r="O82" s="913">
        <f t="shared" si="56"/>
        <v>1200</v>
      </c>
      <c r="P82" s="913">
        <f t="shared" si="56"/>
        <v>0</v>
      </c>
      <c r="Q82" s="913">
        <f t="shared" si="56"/>
        <v>0</v>
      </c>
      <c r="R82" s="914">
        <f t="shared" si="56"/>
        <v>0</v>
      </c>
    </row>
    <row r="83" spans="1:18" s="777" customFormat="1" ht="15.75" thickBot="1">
      <c r="A83" s="1549"/>
      <c r="B83" s="1551"/>
      <c r="C83" s="1553"/>
      <c r="D83" s="920" t="s">
        <v>917</v>
      </c>
      <c r="E83" s="949">
        <f>E38+E80</f>
        <v>793232</v>
      </c>
      <c r="F83" s="949">
        <f t="shared" si="41"/>
        <v>793232</v>
      </c>
      <c r="G83" s="950">
        <f t="shared" si="56"/>
        <v>465444</v>
      </c>
      <c r="H83" s="951">
        <f t="shared" si="56"/>
        <v>118599</v>
      </c>
      <c r="I83" s="951">
        <f t="shared" si="56"/>
        <v>180054</v>
      </c>
      <c r="J83" s="951">
        <f t="shared" si="56"/>
        <v>118</v>
      </c>
      <c r="K83" s="951">
        <f t="shared" si="56"/>
        <v>0</v>
      </c>
      <c r="L83" s="951">
        <f t="shared" si="56"/>
        <v>0</v>
      </c>
      <c r="M83" s="951">
        <f t="shared" si="56"/>
        <v>27817</v>
      </c>
      <c r="N83" s="951">
        <f t="shared" si="56"/>
        <v>0</v>
      </c>
      <c r="O83" s="951">
        <f t="shared" si="56"/>
        <v>1200</v>
      </c>
      <c r="P83" s="951">
        <f t="shared" si="56"/>
        <v>0</v>
      </c>
      <c r="Q83" s="951">
        <f t="shared" si="56"/>
        <v>0</v>
      </c>
      <c r="R83" s="952">
        <f t="shared" si="56"/>
        <v>0</v>
      </c>
    </row>
    <row r="84" spans="1:18" s="777" customFormat="1" ht="15.75" thickTop="1">
      <c r="A84" s="1546"/>
      <c r="B84" s="1543"/>
      <c r="C84" s="1512" t="s">
        <v>215</v>
      </c>
      <c r="D84" s="943" t="s">
        <v>4</v>
      </c>
      <c r="E84" s="876">
        <f>E33</f>
        <v>0</v>
      </c>
      <c r="F84" s="876">
        <f t="shared" si="41"/>
        <v>10005</v>
      </c>
      <c r="G84" s="915">
        <f>G33</f>
        <v>8077</v>
      </c>
      <c r="H84" s="910">
        <f aca="true" t="shared" si="57" ref="H84:R84">H33</f>
        <v>1872</v>
      </c>
      <c r="I84" s="910">
        <f t="shared" si="57"/>
        <v>56</v>
      </c>
      <c r="J84" s="910">
        <f t="shared" si="57"/>
        <v>0</v>
      </c>
      <c r="K84" s="910">
        <f t="shared" si="57"/>
        <v>0</v>
      </c>
      <c r="L84" s="910">
        <f t="shared" si="57"/>
        <v>0</v>
      </c>
      <c r="M84" s="910">
        <f t="shared" si="57"/>
        <v>0</v>
      </c>
      <c r="N84" s="910">
        <f t="shared" si="57"/>
        <v>0</v>
      </c>
      <c r="O84" s="910">
        <f t="shared" si="57"/>
        <v>0</v>
      </c>
      <c r="P84" s="910">
        <f t="shared" si="57"/>
        <v>0</v>
      </c>
      <c r="Q84" s="910">
        <f t="shared" si="57"/>
        <v>0</v>
      </c>
      <c r="R84" s="916">
        <f t="shared" si="57"/>
        <v>0</v>
      </c>
    </row>
    <row r="85" spans="1:18" s="777" customFormat="1" ht="15">
      <c r="A85" s="1546"/>
      <c r="B85" s="1543"/>
      <c r="C85" s="1512"/>
      <c r="D85" s="911" t="s">
        <v>803</v>
      </c>
      <c r="E85" s="772">
        <f aca="true" t="shared" si="58" ref="E85:E86">E34</f>
        <v>0</v>
      </c>
      <c r="F85" s="772">
        <f aca="true" t="shared" si="59" ref="F85">SUM(G85:R85)</f>
        <v>10005</v>
      </c>
      <c r="G85" s="769">
        <f aca="true" t="shared" si="60" ref="G85:R86">G34</f>
        <v>8077</v>
      </c>
      <c r="H85" s="885">
        <f t="shared" si="60"/>
        <v>1872</v>
      </c>
      <c r="I85" s="885">
        <f t="shared" si="60"/>
        <v>56</v>
      </c>
      <c r="J85" s="885">
        <f t="shared" si="60"/>
        <v>0</v>
      </c>
      <c r="K85" s="885">
        <f t="shared" si="60"/>
        <v>0</v>
      </c>
      <c r="L85" s="885">
        <f t="shared" si="60"/>
        <v>0</v>
      </c>
      <c r="M85" s="885">
        <f t="shared" si="60"/>
        <v>0</v>
      </c>
      <c r="N85" s="885">
        <f t="shared" si="60"/>
        <v>0</v>
      </c>
      <c r="O85" s="885">
        <f t="shared" si="60"/>
        <v>0</v>
      </c>
      <c r="P85" s="885">
        <f t="shared" si="60"/>
        <v>0</v>
      </c>
      <c r="Q85" s="885">
        <f t="shared" si="60"/>
        <v>0</v>
      </c>
      <c r="R85" s="907">
        <f t="shared" si="60"/>
        <v>0</v>
      </c>
    </row>
    <row r="86" spans="1:18" s="777" customFormat="1" ht="15.75" thickBot="1">
      <c r="A86" s="1547"/>
      <c r="B86" s="1544"/>
      <c r="C86" s="1541"/>
      <c r="D86" s="912" t="s">
        <v>917</v>
      </c>
      <c r="E86" s="774">
        <f t="shared" si="58"/>
        <v>0</v>
      </c>
      <c r="F86" s="774">
        <f t="shared" si="41"/>
        <v>10005</v>
      </c>
      <c r="G86" s="917">
        <f t="shared" si="60"/>
        <v>8077</v>
      </c>
      <c r="H86" s="918">
        <f t="shared" si="60"/>
        <v>1872</v>
      </c>
      <c r="I86" s="918">
        <f t="shared" si="60"/>
        <v>56</v>
      </c>
      <c r="J86" s="918">
        <f t="shared" si="60"/>
        <v>0</v>
      </c>
      <c r="K86" s="918">
        <f t="shared" si="60"/>
        <v>0</v>
      </c>
      <c r="L86" s="918">
        <f t="shared" si="60"/>
        <v>0</v>
      </c>
      <c r="M86" s="918">
        <f t="shared" si="60"/>
        <v>0</v>
      </c>
      <c r="N86" s="918">
        <f t="shared" si="60"/>
        <v>0</v>
      </c>
      <c r="O86" s="918">
        <f t="shared" si="60"/>
        <v>0</v>
      </c>
      <c r="P86" s="918">
        <f t="shared" si="60"/>
        <v>0</v>
      </c>
      <c r="Q86" s="918">
        <f t="shared" si="60"/>
        <v>0</v>
      </c>
      <c r="R86" s="919">
        <f t="shared" si="60"/>
        <v>0</v>
      </c>
    </row>
    <row r="87" spans="1:18" s="777" customFormat="1" ht="15">
      <c r="A87" s="1545"/>
      <c r="B87" s="1542"/>
      <c r="C87" s="1540" t="s">
        <v>216</v>
      </c>
      <c r="D87" s="320" t="s">
        <v>4</v>
      </c>
      <c r="E87" s="318">
        <f>E21+E27</f>
        <v>600</v>
      </c>
      <c r="F87" s="318">
        <f t="shared" si="41"/>
        <v>27651</v>
      </c>
      <c r="G87" s="904">
        <f>G21+G27</f>
        <v>19206</v>
      </c>
      <c r="H87" s="905">
        <f aca="true" t="shared" si="61" ref="H87:R87">H21+H27</f>
        <v>4320</v>
      </c>
      <c r="I87" s="905">
        <f t="shared" si="61"/>
        <v>2825</v>
      </c>
      <c r="J87" s="905">
        <f t="shared" si="61"/>
        <v>0</v>
      </c>
      <c r="K87" s="905">
        <f t="shared" si="61"/>
        <v>0</v>
      </c>
      <c r="L87" s="905">
        <f t="shared" si="61"/>
        <v>0</v>
      </c>
      <c r="M87" s="905">
        <f t="shared" si="61"/>
        <v>100</v>
      </c>
      <c r="N87" s="905">
        <f t="shared" si="61"/>
        <v>0</v>
      </c>
      <c r="O87" s="905">
        <f t="shared" si="61"/>
        <v>1200</v>
      </c>
      <c r="P87" s="905">
        <f t="shared" si="61"/>
        <v>0</v>
      </c>
      <c r="Q87" s="905">
        <f t="shared" si="61"/>
        <v>0</v>
      </c>
      <c r="R87" s="906">
        <f t="shared" si="61"/>
        <v>0</v>
      </c>
    </row>
    <row r="88" spans="1:18" s="777" customFormat="1" ht="15">
      <c r="A88" s="1546"/>
      <c r="B88" s="1543"/>
      <c r="C88" s="1512"/>
      <c r="D88" s="911" t="s">
        <v>803</v>
      </c>
      <c r="E88" s="772">
        <f aca="true" t="shared" si="62" ref="E88:E89">E22+E28</f>
        <v>600</v>
      </c>
      <c r="F88" s="772">
        <f aca="true" t="shared" si="63" ref="F88">SUM(G88:R88)</f>
        <v>31611</v>
      </c>
      <c r="G88" s="769">
        <f aca="true" t="shared" si="64" ref="G88:R89">G22+G28</f>
        <v>19206</v>
      </c>
      <c r="H88" s="885">
        <f t="shared" si="64"/>
        <v>4320</v>
      </c>
      <c r="I88" s="885">
        <f t="shared" si="64"/>
        <v>6785</v>
      </c>
      <c r="J88" s="885">
        <f t="shared" si="64"/>
        <v>0</v>
      </c>
      <c r="K88" s="885">
        <f t="shared" si="64"/>
        <v>0</v>
      </c>
      <c r="L88" s="885">
        <f t="shared" si="64"/>
        <v>0</v>
      </c>
      <c r="M88" s="885">
        <f t="shared" si="64"/>
        <v>100</v>
      </c>
      <c r="N88" s="885">
        <f t="shared" si="64"/>
        <v>0</v>
      </c>
      <c r="O88" s="885">
        <f t="shared" si="64"/>
        <v>1200</v>
      </c>
      <c r="P88" s="885">
        <f t="shared" si="64"/>
        <v>0</v>
      </c>
      <c r="Q88" s="885">
        <f t="shared" si="64"/>
        <v>0</v>
      </c>
      <c r="R88" s="907">
        <f t="shared" si="64"/>
        <v>0</v>
      </c>
    </row>
    <row r="89" spans="1:18" s="777" customFormat="1" ht="15.75" thickBot="1">
      <c r="A89" s="1547"/>
      <c r="B89" s="1544"/>
      <c r="C89" s="1541"/>
      <c r="D89" s="912" t="s">
        <v>917</v>
      </c>
      <c r="E89" s="319">
        <f t="shared" si="62"/>
        <v>600</v>
      </c>
      <c r="F89" s="319">
        <f t="shared" si="41"/>
        <v>21111</v>
      </c>
      <c r="G89" s="770">
        <f t="shared" si="64"/>
        <v>12206</v>
      </c>
      <c r="H89" s="908">
        <f t="shared" si="64"/>
        <v>2820</v>
      </c>
      <c r="I89" s="908">
        <f t="shared" si="64"/>
        <v>4785</v>
      </c>
      <c r="J89" s="908">
        <f t="shared" si="64"/>
        <v>0</v>
      </c>
      <c r="K89" s="908">
        <f t="shared" si="64"/>
        <v>0</v>
      </c>
      <c r="L89" s="908">
        <f t="shared" si="64"/>
        <v>0</v>
      </c>
      <c r="M89" s="908">
        <f t="shared" si="64"/>
        <v>100</v>
      </c>
      <c r="N89" s="908">
        <f t="shared" si="64"/>
        <v>0</v>
      </c>
      <c r="O89" s="908">
        <f t="shared" si="64"/>
        <v>1200</v>
      </c>
      <c r="P89" s="908">
        <f t="shared" si="64"/>
        <v>0</v>
      </c>
      <c r="Q89" s="908">
        <f t="shared" si="64"/>
        <v>0</v>
      </c>
      <c r="R89" s="909">
        <f t="shared" si="64"/>
        <v>0</v>
      </c>
    </row>
    <row r="90" spans="1:18" s="777" customFormat="1" ht="15">
      <c r="A90" s="1545"/>
      <c r="B90" s="1542"/>
      <c r="C90" s="1540" t="s">
        <v>217</v>
      </c>
      <c r="D90" s="320" t="s">
        <v>4</v>
      </c>
      <c r="E90" s="876">
        <f>E6+E9+E12+E15+E18+E24+E30+E40+E43+E46+E53+E56+E59+E66+E69+E72</f>
        <v>819725</v>
      </c>
      <c r="F90" s="876">
        <f t="shared" si="41"/>
        <v>782669</v>
      </c>
      <c r="G90" s="915">
        <f aca="true" t="shared" si="65" ref="G90:R90">G6+G9+G12+G15+G18+G24+G30+G40+G43+G46+G53+G56+G59+G66+G69+G72</f>
        <v>491088</v>
      </c>
      <c r="H90" s="910">
        <f t="shared" si="65"/>
        <v>112922</v>
      </c>
      <c r="I90" s="910">
        <f t="shared" si="65"/>
        <v>167294</v>
      </c>
      <c r="J90" s="910">
        <f t="shared" si="65"/>
        <v>0</v>
      </c>
      <c r="K90" s="910">
        <f t="shared" si="65"/>
        <v>0</v>
      </c>
      <c r="L90" s="910">
        <f t="shared" si="65"/>
        <v>0</v>
      </c>
      <c r="M90" s="910">
        <f t="shared" si="65"/>
        <v>11365</v>
      </c>
      <c r="N90" s="910">
        <f t="shared" si="65"/>
        <v>0</v>
      </c>
      <c r="O90" s="910">
        <f t="shared" si="65"/>
        <v>0</v>
      </c>
      <c r="P90" s="910">
        <f t="shared" si="65"/>
        <v>0</v>
      </c>
      <c r="Q90" s="910">
        <f t="shared" si="65"/>
        <v>0</v>
      </c>
      <c r="R90" s="916">
        <f t="shared" si="65"/>
        <v>0</v>
      </c>
    </row>
    <row r="91" spans="1:18" s="777" customFormat="1" ht="15">
      <c r="A91" s="1546"/>
      <c r="B91" s="1543"/>
      <c r="C91" s="1512"/>
      <c r="D91" s="911" t="s">
        <v>803</v>
      </c>
      <c r="E91" s="774">
        <f>E7+E10+E13+E16+E19+E25+E31+E41+E44+E47+E54+E57+E60+E67+E70+E73</f>
        <v>957383</v>
      </c>
      <c r="F91" s="774">
        <f aca="true" t="shared" si="66" ref="F91">SUM(G91:R91)</f>
        <v>916067</v>
      </c>
      <c r="G91" s="917">
        <f aca="true" t="shared" si="67" ref="G91:R92">G7+G10+G13+G16+G19+G25+G31+G41+G44+G47+G54+G57+G60+G67+G70+G73</f>
        <v>529602</v>
      </c>
      <c r="H91" s="918">
        <f t="shared" si="67"/>
        <v>126116</v>
      </c>
      <c r="I91" s="918">
        <f t="shared" si="67"/>
        <v>232207</v>
      </c>
      <c r="J91" s="918">
        <f t="shared" si="67"/>
        <v>118</v>
      </c>
      <c r="K91" s="918">
        <f t="shared" si="67"/>
        <v>0</v>
      </c>
      <c r="L91" s="918">
        <f t="shared" si="67"/>
        <v>0</v>
      </c>
      <c r="M91" s="918">
        <f t="shared" si="67"/>
        <v>28024</v>
      </c>
      <c r="N91" s="918">
        <f t="shared" si="67"/>
        <v>0</v>
      </c>
      <c r="O91" s="918">
        <f t="shared" si="67"/>
        <v>0</v>
      </c>
      <c r="P91" s="918">
        <f t="shared" si="67"/>
        <v>0</v>
      </c>
      <c r="Q91" s="918">
        <f t="shared" si="67"/>
        <v>0</v>
      </c>
      <c r="R91" s="919">
        <f t="shared" si="67"/>
        <v>0</v>
      </c>
    </row>
    <row r="92" spans="1:18" s="777" customFormat="1" ht="15.75" thickBot="1">
      <c r="A92" s="1549"/>
      <c r="B92" s="1551"/>
      <c r="C92" s="1553"/>
      <c r="D92" s="920" t="s">
        <v>917</v>
      </c>
      <c r="E92" s="921">
        <f>E8+E11+E14+E17+E20+E26+E32+E42+E45+E48+E55+E58+E61+E68+E71+E74</f>
        <v>792632</v>
      </c>
      <c r="F92" s="921">
        <f t="shared" si="41"/>
        <v>762116</v>
      </c>
      <c r="G92" s="922">
        <f t="shared" si="67"/>
        <v>445161</v>
      </c>
      <c r="H92" s="923">
        <f t="shared" si="67"/>
        <v>113907</v>
      </c>
      <c r="I92" s="923">
        <f t="shared" si="67"/>
        <v>175213</v>
      </c>
      <c r="J92" s="923">
        <f t="shared" si="67"/>
        <v>118</v>
      </c>
      <c r="K92" s="923">
        <f t="shared" si="67"/>
        <v>0</v>
      </c>
      <c r="L92" s="923">
        <f t="shared" si="67"/>
        <v>0</v>
      </c>
      <c r="M92" s="923">
        <f t="shared" si="67"/>
        <v>27717</v>
      </c>
      <c r="N92" s="923">
        <f t="shared" si="67"/>
        <v>0</v>
      </c>
      <c r="O92" s="923">
        <f t="shared" si="67"/>
        <v>0</v>
      </c>
      <c r="P92" s="923">
        <f t="shared" si="67"/>
        <v>0</v>
      </c>
      <c r="Q92" s="923">
        <f t="shared" si="67"/>
        <v>0</v>
      </c>
      <c r="R92" s="924">
        <f t="shared" si="67"/>
        <v>0</v>
      </c>
    </row>
    <row r="93" ht="15.75" thickTop="1"/>
    <row r="94" spans="1:3" ht="15">
      <c r="A94" s="1423" t="s">
        <v>995</v>
      </c>
      <c r="B94" s="305"/>
      <c r="C94" s="305"/>
    </row>
    <row r="95" spans="1:3" ht="15">
      <c r="A95" s="1423" t="s">
        <v>996</v>
      </c>
      <c r="B95" s="305"/>
      <c r="C95" s="305"/>
    </row>
    <row r="96" spans="1:3" ht="15">
      <c r="A96" s="1423" t="s">
        <v>997</v>
      </c>
      <c r="B96" s="305"/>
      <c r="C96" s="305"/>
    </row>
    <row r="97" spans="1:3" ht="15">
      <c r="A97" s="1423" t="s">
        <v>998</v>
      </c>
      <c r="B97" s="305"/>
      <c r="C97" s="305"/>
    </row>
    <row r="98" spans="1:3" ht="15">
      <c r="A98" s="1423" t="s">
        <v>999</v>
      </c>
      <c r="B98" s="305"/>
      <c r="C98" s="305"/>
    </row>
  </sheetData>
  <mergeCells count="95">
    <mergeCell ref="A90:A92"/>
    <mergeCell ref="B90:B92"/>
    <mergeCell ref="C90:C92"/>
    <mergeCell ref="A84:A86"/>
    <mergeCell ref="B84:B86"/>
    <mergeCell ref="C84:C86"/>
    <mergeCell ref="A87:A89"/>
    <mergeCell ref="B87:B89"/>
    <mergeCell ref="C87:C89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66:A68"/>
    <mergeCell ref="B66:B68"/>
    <mergeCell ref="C66:C68"/>
    <mergeCell ref="A69:A71"/>
    <mergeCell ref="B69:B71"/>
    <mergeCell ref="C69:C7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49:A51"/>
    <mergeCell ref="B49:B51"/>
    <mergeCell ref="C49:C51"/>
    <mergeCell ref="A43:A45"/>
    <mergeCell ref="B43:B45"/>
    <mergeCell ref="C43:C45"/>
    <mergeCell ref="A46:A48"/>
    <mergeCell ref="B46:B48"/>
    <mergeCell ref="C46:C48"/>
    <mergeCell ref="C36:C38"/>
    <mergeCell ref="B36:B38"/>
    <mergeCell ref="A36:A38"/>
    <mergeCell ref="A40:A42"/>
    <mergeCell ref="B40:B42"/>
    <mergeCell ref="C40:C42"/>
    <mergeCell ref="A30:A32"/>
    <mergeCell ref="B30:B32"/>
    <mergeCell ref="C30:C32"/>
    <mergeCell ref="A33:A35"/>
    <mergeCell ref="B33:B35"/>
    <mergeCell ref="C33:C35"/>
    <mergeCell ref="A24:A26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C9:C11"/>
    <mergeCell ref="A12:A14"/>
    <mergeCell ref="B12:B14"/>
    <mergeCell ref="C12:C14"/>
    <mergeCell ref="A15:A17"/>
    <mergeCell ref="B15:B17"/>
    <mergeCell ref="C15:C17"/>
    <mergeCell ref="A1:R1"/>
    <mergeCell ref="A39:C39"/>
    <mergeCell ref="A52:C52"/>
    <mergeCell ref="A65:C65"/>
    <mergeCell ref="A5:C5"/>
    <mergeCell ref="A3:D4"/>
    <mergeCell ref="E3:E4"/>
    <mergeCell ref="F3:F4"/>
    <mergeCell ref="G3:L3"/>
    <mergeCell ref="M3:P3"/>
    <mergeCell ref="Q3:R3"/>
    <mergeCell ref="A6:A8"/>
    <mergeCell ref="B6:B8"/>
    <mergeCell ref="C6:C8"/>
    <mergeCell ref="A9:A11"/>
    <mergeCell ref="B9:B11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5" r:id="rId1"/>
  <headerFooter>
    <oddHeader>&amp;L&amp;"Times New Roman,Normál"&amp;10 5. melléklet 1,2,3,4</oddHeader>
  </headerFooter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view="pageLayout" workbookViewId="0" topLeftCell="A1">
      <selection activeCell="A81" sqref="A81:C85"/>
    </sheetView>
  </sheetViews>
  <sheetFormatPr defaultColWidth="9.140625" defaultRowHeight="15"/>
  <cols>
    <col min="1" max="1" width="25.00390625" style="323" customWidth="1"/>
    <col min="2" max="2" width="9.57421875" style="323" customWidth="1"/>
    <col min="3" max="3" width="14.421875" style="323" customWidth="1"/>
    <col min="4" max="4" width="8.421875" style="323" bestFit="1" customWidth="1"/>
    <col min="5" max="5" width="8.28125" style="323" customWidth="1"/>
    <col min="6" max="6" width="8.140625" style="323" bestFit="1" customWidth="1"/>
    <col min="7" max="7" width="7.8515625" style="323" bestFit="1" customWidth="1"/>
    <col min="8" max="8" width="8.140625" style="323" customWidth="1"/>
    <col min="9" max="9" width="7.28125" style="323" bestFit="1" customWidth="1"/>
    <col min="10" max="10" width="7.00390625" style="323" bestFit="1" customWidth="1"/>
    <col min="11" max="11" width="7.28125" style="323" bestFit="1" customWidth="1"/>
    <col min="12" max="12" width="8.28125" style="323" customWidth="1"/>
    <col min="13" max="13" width="7.28125" style="323" bestFit="1" customWidth="1"/>
    <col min="14" max="14" width="7.421875" style="323" bestFit="1" customWidth="1"/>
    <col min="15" max="15" width="7.8515625" style="323" bestFit="1" customWidth="1"/>
    <col min="16" max="16" width="10.140625" style="323" bestFit="1" customWidth="1"/>
    <col min="17" max="17" width="9.00390625" style="323" bestFit="1" customWidth="1"/>
    <col min="18" max="18" width="10.8515625" style="323" bestFit="1" customWidth="1"/>
    <col min="19" max="16384" width="9.140625" style="323" customWidth="1"/>
  </cols>
  <sheetData>
    <row r="1" spans="1:18" s="321" customFormat="1" ht="15">
      <c r="A1" s="1576" t="s">
        <v>247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576"/>
      <c r="N1" s="1576"/>
      <c r="O1" s="1576"/>
      <c r="P1" s="1576"/>
      <c r="Q1" s="1576"/>
      <c r="R1" s="1576"/>
    </row>
    <row r="2" spans="1:18" s="321" customFormat="1" ht="15.75" thickBot="1">
      <c r="A2" s="322"/>
      <c r="B2" s="322"/>
      <c r="C2" s="322"/>
      <c r="D2" s="322"/>
      <c r="E2" s="322"/>
      <c r="F2" s="322"/>
      <c r="G2" s="322"/>
      <c r="H2" s="1043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 ht="28.5" customHeight="1">
      <c r="A3" s="1564" t="s">
        <v>281</v>
      </c>
      <c r="B3" s="1565" t="s">
        <v>282</v>
      </c>
      <c r="C3" s="1560"/>
      <c r="D3" s="1577" t="s">
        <v>782</v>
      </c>
      <c r="E3" s="1565" t="s">
        <v>783</v>
      </c>
      <c r="F3" s="1565" t="s">
        <v>784</v>
      </c>
      <c r="G3" s="1565" t="s">
        <v>277</v>
      </c>
      <c r="H3" s="1565" t="s">
        <v>250</v>
      </c>
      <c r="I3" s="1565" t="s">
        <v>874</v>
      </c>
      <c r="J3" s="1565" t="s">
        <v>278</v>
      </c>
      <c r="K3" s="1565"/>
      <c r="L3" s="1565" t="s">
        <v>785</v>
      </c>
      <c r="M3" s="1565"/>
      <c r="N3" s="1565" t="s">
        <v>788</v>
      </c>
      <c r="O3" s="1565" t="s">
        <v>789</v>
      </c>
      <c r="P3" s="1565" t="s">
        <v>279</v>
      </c>
      <c r="Q3" s="1572" t="s">
        <v>781</v>
      </c>
      <c r="R3" s="1574" t="s">
        <v>280</v>
      </c>
    </row>
    <row r="4" spans="1:18" ht="43.5" thickBot="1">
      <c r="A4" s="1556"/>
      <c r="B4" s="1559"/>
      <c r="C4" s="1561"/>
      <c r="D4" s="1578"/>
      <c r="E4" s="1559"/>
      <c r="F4" s="1559"/>
      <c r="G4" s="1559"/>
      <c r="H4" s="1559"/>
      <c r="I4" s="1559"/>
      <c r="J4" s="331" t="s">
        <v>786</v>
      </c>
      <c r="K4" s="331" t="s">
        <v>787</v>
      </c>
      <c r="L4" s="331" t="s">
        <v>786</v>
      </c>
      <c r="M4" s="331" t="s">
        <v>787</v>
      </c>
      <c r="N4" s="1559"/>
      <c r="O4" s="1559"/>
      <c r="P4" s="1559"/>
      <c r="Q4" s="1573"/>
      <c r="R4" s="1575"/>
    </row>
    <row r="5" spans="1:18" ht="12.75" customHeight="1">
      <c r="A5" s="1570" t="s">
        <v>252</v>
      </c>
      <c r="B5" s="1571" t="s">
        <v>121</v>
      </c>
      <c r="C5" s="339" t="s">
        <v>4</v>
      </c>
      <c r="D5" s="332"/>
      <c r="E5" s="330">
        <v>521</v>
      </c>
      <c r="F5" s="330"/>
      <c r="G5" s="330">
        <v>1655</v>
      </c>
      <c r="H5" s="330">
        <v>588</v>
      </c>
      <c r="I5" s="330"/>
      <c r="J5" s="330"/>
      <c r="K5" s="330"/>
      <c r="L5" s="330"/>
      <c r="M5" s="330"/>
      <c r="N5" s="330"/>
      <c r="O5" s="330"/>
      <c r="P5" s="330">
        <v>99474</v>
      </c>
      <c r="Q5" s="343">
        <f>SUM(D5:O5)</f>
        <v>2764</v>
      </c>
      <c r="R5" s="347">
        <f>SUM(D5:P5)</f>
        <v>102238</v>
      </c>
    </row>
    <row r="6" spans="1:18" ht="12.75" customHeight="1">
      <c r="A6" s="1566"/>
      <c r="B6" s="1567"/>
      <c r="C6" s="340" t="s">
        <v>892</v>
      </c>
      <c r="D6" s="333"/>
      <c r="E6" s="325">
        <v>521</v>
      </c>
      <c r="F6" s="325"/>
      <c r="G6" s="325">
        <v>1694</v>
      </c>
      <c r="H6" s="325">
        <v>588</v>
      </c>
      <c r="I6" s="325"/>
      <c r="J6" s="325"/>
      <c r="K6" s="325"/>
      <c r="L6" s="325"/>
      <c r="M6" s="325"/>
      <c r="N6" s="325"/>
      <c r="O6" s="325">
        <v>542</v>
      </c>
      <c r="P6" s="325">
        <v>100832</v>
      </c>
      <c r="Q6" s="344">
        <f aca="true" t="shared" si="0" ref="Q6">SUM(D6:O6)</f>
        <v>3345</v>
      </c>
      <c r="R6" s="348">
        <f aca="true" t="shared" si="1" ref="R6">SUM(D6:P6)</f>
        <v>104177</v>
      </c>
    </row>
    <row r="7" spans="1:18" ht="15">
      <c r="A7" s="1566"/>
      <c r="B7" s="1567"/>
      <c r="C7" s="340" t="s">
        <v>929</v>
      </c>
      <c r="D7" s="333"/>
      <c r="E7" s="325">
        <v>543</v>
      </c>
      <c r="F7" s="325"/>
      <c r="G7" s="325">
        <v>1672</v>
      </c>
      <c r="H7" s="325">
        <v>587</v>
      </c>
      <c r="I7" s="325"/>
      <c r="J7" s="325"/>
      <c r="K7" s="325"/>
      <c r="L7" s="325"/>
      <c r="M7" s="325"/>
      <c r="N7" s="325"/>
      <c r="O7" s="325">
        <v>543</v>
      </c>
      <c r="P7" s="325">
        <v>100849</v>
      </c>
      <c r="Q7" s="344">
        <f aca="true" t="shared" si="2" ref="Q7:Q71">SUM(D7:O7)</f>
        <v>3345</v>
      </c>
      <c r="R7" s="348">
        <f aca="true" t="shared" si="3" ref="R7:R72">SUM(D7:P7)</f>
        <v>104194</v>
      </c>
    </row>
    <row r="8" spans="1:18" ht="12.75" customHeight="1">
      <c r="A8" s="1566" t="s">
        <v>253</v>
      </c>
      <c r="B8" s="1567" t="s">
        <v>121</v>
      </c>
      <c r="C8" s="340" t="s">
        <v>4</v>
      </c>
      <c r="D8" s="333"/>
      <c r="E8" s="325">
        <v>27</v>
      </c>
      <c r="F8" s="325"/>
      <c r="G8" s="325">
        <v>290</v>
      </c>
      <c r="H8" s="325">
        <v>85</v>
      </c>
      <c r="I8" s="325"/>
      <c r="J8" s="325"/>
      <c r="K8" s="325"/>
      <c r="L8" s="325"/>
      <c r="M8" s="325"/>
      <c r="N8" s="325"/>
      <c r="O8" s="325"/>
      <c r="P8" s="325">
        <v>36102</v>
      </c>
      <c r="Q8" s="344">
        <f t="shared" si="2"/>
        <v>402</v>
      </c>
      <c r="R8" s="348">
        <f t="shared" si="3"/>
        <v>36504</v>
      </c>
    </row>
    <row r="9" spans="1:18" ht="12.75" customHeight="1">
      <c r="A9" s="1566"/>
      <c r="B9" s="1567"/>
      <c r="C9" s="340" t="s">
        <v>892</v>
      </c>
      <c r="D9" s="333"/>
      <c r="E9" s="325">
        <v>27</v>
      </c>
      <c r="F9" s="325"/>
      <c r="G9" s="325">
        <v>296</v>
      </c>
      <c r="H9" s="325">
        <v>85</v>
      </c>
      <c r="I9" s="325"/>
      <c r="J9" s="325"/>
      <c r="K9" s="325"/>
      <c r="L9" s="325"/>
      <c r="M9" s="325"/>
      <c r="N9" s="325"/>
      <c r="O9" s="325"/>
      <c r="P9" s="325">
        <v>36102</v>
      </c>
      <c r="Q9" s="344">
        <f aca="true" t="shared" si="4" ref="Q9">SUM(D9:O9)</f>
        <v>408</v>
      </c>
      <c r="R9" s="348">
        <f aca="true" t="shared" si="5" ref="R9">SUM(D9:P9)</f>
        <v>36510</v>
      </c>
    </row>
    <row r="10" spans="1:18" ht="15">
      <c r="A10" s="1566"/>
      <c r="B10" s="1567"/>
      <c r="C10" s="340" t="s">
        <v>929</v>
      </c>
      <c r="D10" s="333"/>
      <c r="E10" s="325">
        <v>46</v>
      </c>
      <c r="F10" s="325"/>
      <c r="G10" s="325">
        <v>277</v>
      </c>
      <c r="H10" s="325">
        <v>85</v>
      </c>
      <c r="I10" s="325"/>
      <c r="J10" s="325"/>
      <c r="K10" s="325"/>
      <c r="L10" s="325"/>
      <c r="M10" s="325"/>
      <c r="N10" s="325"/>
      <c r="O10" s="325"/>
      <c r="P10" s="325">
        <v>37065</v>
      </c>
      <c r="Q10" s="344">
        <f t="shared" si="2"/>
        <v>408</v>
      </c>
      <c r="R10" s="348">
        <f t="shared" si="3"/>
        <v>37473</v>
      </c>
    </row>
    <row r="11" spans="1:18" ht="12.75" customHeight="1">
      <c r="A11" s="1566" t="s">
        <v>254</v>
      </c>
      <c r="B11" s="1567" t="s">
        <v>121</v>
      </c>
      <c r="C11" s="340" t="s">
        <v>4</v>
      </c>
      <c r="D11" s="333"/>
      <c r="E11" s="325">
        <v>144</v>
      </c>
      <c r="F11" s="325"/>
      <c r="G11" s="325">
        <v>1795</v>
      </c>
      <c r="H11" s="325">
        <v>523</v>
      </c>
      <c r="I11" s="325"/>
      <c r="J11" s="325"/>
      <c r="K11" s="325"/>
      <c r="L11" s="325"/>
      <c r="M11" s="325"/>
      <c r="N11" s="325"/>
      <c r="O11" s="325"/>
      <c r="P11" s="325">
        <v>84578</v>
      </c>
      <c r="Q11" s="344">
        <f t="shared" si="2"/>
        <v>2462</v>
      </c>
      <c r="R11" s="348">
        <f t="shared" si="3"/>
        <v>87040</v>
      </c>
    </row>
    <row r="12" spans="1:18" ht="12.75" customHeight="1">
      <c r="A12" s="1566"/>
      <c r="B12" s="1567"/>
      <c r="C12" s="340" t="s">
        <v>892</v>
      </c>
      <c r="D12" s="333"/>
      <c r="E12" s="325">
        <v>144</v>
      </c>
      <c r="F12" s="325"/>
      <c r="G12" s="325">
        <v>1834</v>
      </c>
      <c r="H12" s="325">
        <v>523</v>
      </c>
      <c r="I12" s="325"/>
      <c r="J12" s="325"/>
      <c r="K12" s="325"/>
      <c r="L12" s="325"/>
      <c r="M12" s="325"/>
      <c r="N12" s="325"/>
      <c r="O12" s="325">
        <v>618</v>
      </c>
      <c r="P12" s="325">
        <v>86868</v>
      </c>
      <c r="Q12" s="344">
        <f aca="true" t="shared" si="6" ref="Q12">SUM(D12:O12)</f>
        <v>3119</v>
      </c>
      <c r="R12" s="348">
        <f aca="true" t="shared" si="7" ref="R12">SUM(D12:P12)</f>
        <v>89987</v>
      </c>
    </row>
    <row r="13" spans="1:18" ht="15">
      <c r="A13" s="1566"/>
      <c r="B13" s="1567"/>
      <c r="C13" s="340" t="s">
        <v>929</v>
      </c>
      <c r="D13" s="333"/>
      <c r="E13" s="325">
        <v>212</v>
      </c>
      <c r="F13" s="325"/>
      <c r="G13" s="325">
        <v>1764</v>
      </c>
      <c r="H13" s="326">
        <v>523</v>
      </c>
      <c r="I13" s="326"/>
      <c r="J13" s="325"/>
      <c r="K13" s="325"/>
      <c r="L13" s="325"/>
      <c r="M13" s="325"/>
      <c r="N13" s="325"/>
      <c r="O13" s="325">
        <v>618</v>
      </c>
      <c r="P13" s="325">
        <v>89601</v>
      </c>
      <c r="Q13" s="344">
        <f t="shared" si="2"/>
        <v>3117</v>
      </c>
      <c r="R13" s="348">
        <f t="shared" si="3"/>
        <v>92718</v>
      </c>
    </row>
    <row r="14" spans="1:18" ht="12.75" customHeight="1">
      <c r="A14" s="1566" t="s">
        <v>255</v>
      </c>
      <c r="B14" s="1567" t="s">
        <v>121</v>
      </c>
      <c r="C14" s="340" t="s">
        <v>4</v>
      </c>
      <c r="D14" s="333"/>
      <c r="E14" s="325">
        <v>2488</v>
      </c>
      <c r="F14" s="325"/>
      <c r="G14" s="325">
        <v>2039</v>
      </c>
      <c r="H14" s="325">
        <v>1222</v>
      </c>
      <c r="I14" s="325"/>
      <c r="J14" s="325"/>
      <c r="K14" s="325"/>
      <c r="L14" s="325"/>
      <c r="M14" s="325"/>
      <c r="N14" s="325"/>
      <c r="O14" s="325"/>
      <c r="P14" s="325">
        <v>106893</v>
      </c>
      <c r="Q14" s="344">
        <f t="shared" si="2"/>
        <v>5749</v>
      </c>
      <c r="R14" s="348">
        <f t="shared" si="3"/>
        <v>112642</v>
      </c>
    </row>
    <row r="15" spans="1:18" ht="12.75" customHeight="1">
      <c r="A15" s="1566"/>
      <c r="B15" s="1567"/>
      <c r="C15" s="340" t="s">
        <v>892</v>
      </c>
      <c r="D15" s="333"/>
      <c r="E15" s="325">
        <v>3036</v>
      </c>
      <c r="F15" s="325"/>
      <c r="G15" s="325">
        <v>2089</v>
      </c>
      <c r="H15" s="325">
        <v>1222</v>
      </c>
      <c r="I15" s="325"/>
      <c r="J15" s="325"/>
      <c r="K15" s="325"/>
      <c r="L15" s="325"/>
      <c r="M15" s="325"/>
      <c r="N15" s="325"/>
      <c r="O15" s="325">
        <v>807</v>
      </c>
      <c r="P15" s="325">
        <v>107647</v>
      </c>
      <c r="Q15" s="344">
        <f aca="true" t="shared" si="8" ref="Q15">SUM(D15:O15)</f>
        <v>7154</v>
      </c>
      <c r="R15" s="348">
        <f aca="true" t="shared" si="9" ref="R15">SUM(D15:P15)</f>
        <v>114801</v>
      </c>
    </row>
    <row r="16" spans="1:18" ht="15">
      <c r="A16" s="1566"/>
      <c r="B16" s="1567"/>
      <c r="C16" s="340" t="s">
        <v>929</v>
      </c>
      <c r="D16" s="333"/>
      <c r="E16" s="325">
        <v>1891</v>
      </c>
      <c r="F16" s="325">
        <v>961</v>
      </c>
      <c r="G16" s="325">
        <v>2089</v>
      </c>
      <c r="H16" s="325">
        <v>1222</v>
      </c>
      <c r="I16" s="325"/>
      <c r="J16" s="325"/>
      <c r="K16" s="325"/>
      <c r="L16" s="325">
        <v>184</v>
      </c>
      <c r="M16" s="325"/>
      <c r="N16" s="325"/>
      <c r="O16" s="325">
        <v>807</v>
      </c>
      <c r="P16" s="325">
        <v>107648</v>
      </c>
      <c r="Q16" s="344">
        <f t="shared" si="2"/>
        <v>7154</v>
      </c>
      <c r="R16" s="348">
        <f t="shared" si="3"/>
        <v>114802</v>
      </c>
    </row>
    <row r="17" spans="1:18" ht="12.75" customHeight="1">
      <c r="A17" s="1566" t="s">
        <v>256</v>
      </c>
      <c r="B17" s="1567" t="s">
        <v>121</v>
      </c>
      <c r="C17" s="340" t="s">
        <v>4</v>
      </c>
      <c r="D17" s="334"/>
      <c r="E17" s="325">
        <v>18</v>
      </c>
      <c r="F17" s="325"/>
      <c r="G17" s="325">
        <v>1399</v>
      </c>
      <c r="H17" s="325">
        <v>383</v>
      </c>
      <c r="I17" s="325"/>
      <c r="J17" s="325"/>
      <c r="K17" s="325"/>
      <c r="L17" s="325"/>
      <c r="M17" s="325"/>
      <c r="N17" s="325"/>
      <c r="O17" s="325"/>
      <c r="P17" s="325">
        <v>63687</v>
      </c>
      <c r="Q17" s="344">
        <f t="shared" si="2"/>
        <v>1800</v>
      </c>
      <c r="R17" s="348">
        <f t="shared" si="3"/>
        <v>65487</v>
      </c>
    </row>
    <row r="18" spans="1:18" ht="12.75" customHeight="1">
      <c r="A18" s="1566"/>
      <c r="B18" s="1567"/>
      <c r="C18" s="340" t="s">
        <v>892</v>
      </c>
      <c r="D18" s="334"/>
      <c r="E18" s="325">
        <v>183</v>
      </c>
      <c r="F18" s="325"/>
      <c r="G18" s="325">
        <v>1433</v>
      </c>
      <c r="H18" s="325">
        <v>383</v>
      </c>
      <c r="I18" s="325">
        <v>32</v>
      </c>
      <c r="J18" s="325"/>
      <c r="K18" s="325"/>
      <c r="L18" s="325"/>
      <c r="M18" s="325"/>
      <c r="N18" s="325"/>
      <c r="O18" s="325">
        <v>573</v>
      </c>
      <c r="P18" s="325">
        <v>64466</v>
      </c>
      <c r="Q18" s="344">
        <f aca="true" t="shared" si="10" ref="Q18">SUM(D18:O18)</f>
        <v>2604</v>
      </c>
      <c r="R18" s="348">
        <f aca="true" t="shared" si="11" ref="R18">SUM(D18:P18)</f>
        <v>67070</v>
      </c>
    </row>
    <row r="19" spans="1:18" ht="15">
      <c r="A19" s="1566"/>
      <c r="B19" s="1567"/>
      <c r="C19" s="340" t="s">
        <v>929</v>
      </c>
      <c r="D19" s="334"/>
      <c r="E19" s="325">
        <v>183</v>
      </c>
      <c r="F19" s="325"/>
      <c r="G19" s="325">
        <v>1674</v>
      </c>
      <c r="H19" s="325">
        <v>474</v>
      </c>
      <c r="I19" s="325">
        <v>59</v>
      </c>
      <c r="J19" s="325"/>
      <c r="K19" s="325"/>
      <c r="L19" s="325"/>
      <c r="M19" s="325"/>
      <c r="N19" s="325"/>
      <c r="O19" s="325">
        <v>574</v>
      </c>
      <c r="P19" s="325">
        <v>64227</v>
      </c>
      <c r="Q19" s="344">
        <f t="shared" si="2"/>
        <v>2964</v>
      </c>
      <c r="R19" s="348">
        <f t="shared" si="3"/>
        <v>67191</v>
      </c>
    </row>
    <row r="20" spans="1:18" ht="12.75" customHeight="1">
      <c r="A20" s="1566" t="s">
        <v>257</v>
      </c>
      <c r="B20" s="1567" t="s">
        <v>121</v>
      </c>
      <c r="C20" s="340" t="s">
        <v>4</v>
      </c>
      <c r="D20" s="333"/>
      <c r="E20" s="325">
        <v>80</v>
      </c>
      <c r="F20" s="325"/>
      <c r="G20" s="325">
        <v>2963</v>
      </c>
      <c r="H20" s="325">
        <v>1122</v>
      </c>
      <c r="I20" s="325"/>
      <c r="J20" s="325"/>
      <c r="K20" s="325"/>
      <c r="L20" s="325"/>
      <c r="M20" s="325"/>
      <c r="N20" s="325"/>
      <c r="O20" s="325"/>
      <c r="P20" s="325">
        <v>95851</v>
      </c>
      <c r="Q20" s="344">
        <f t="shared" si="2"/>
        <v>4165</v>
      </c>
      <c r="R20" s="348">
        <f t="shared" si="3"/>
        <v>100016</v>
      </c>
    </row>
    <row r="21" spans="1:18" ht="12.75" customHeight="1">
      <c r="A21" s="1566"/>
      <c r="B21" s="1567"/>
      <c r="C21" s="340" t="s">
        <v>892</v>
      </c>
      <c r="D21" s="333"/>
      <c r="E21" s="325">
        <v>250</v>
      </c>
      <c r="F21" s="325"/>
      <c r="G21" s="325">
        <v>3008</v>
      </c>
      <c r="H21" s="325">
        <v>1122</v>
      </c>
      <c r="I21" s="325"/>
      <c r="J21" s="325"/>
      <c r="K21" s="325"/>
      <c r="L21" s="325">
        <v>1331</v>
      </c>
      <c r="M21" s="325"/>
      <c r="N21" s="325"/>
      <c r="O21" s="325">
        <v>552</v>
      </c>
      <c r="P21" s="325">
        <v>97412</v>
      </c>
      <c r="Q21" s="344">
        <f aca="true" t="shared" si="12" ref="Q21">SUM(D21:O21)</f>
        <v>6263</v>
      </c>
      <c r="R21" s="348">
        <f aca="true" t="shared" si="13" ref="R21">SUM(D21:P21)</f>
        <v>103675</v>
      </c>
    </row>
    <row r="22" spans="1:18" ht="15">
      <c r="A22" s="1566"/>
      <c r="B22" s="1567"/>
      <c r="C22" s="340" t="s">
        <v>929</v>
      </c>
      <c r="D22" s="333"/>
      <c r="E22" s="325">
        <v>250</v>
      </c>
      <c r="F22" s="325"/>
      <c r="G22" s="325">
        <v>3007</v>
      </c>
      <c r="H22" s="325">
        <v>1122</v>
      </c>
      <c r="I22" s="325"/>
      <c r="J22" s="325"/>
      <c r="K22" s="325"/>
      <c r="L22" s="325">
        <v>1331</v>
      </c>
      <c r="M22" s="325"/>
      <c r="N22" s="325"/>
      <c r="O22" s="325">
        <v>553</v>
      </c>
      <c r="P22" s="325">
        <v>96457</v>
      </c>
      <c r="Q22" s="344">
        <f t="shared" si="2"/>
        <v>6263</v>
      </c>
      <c r="R22" s="348">
        <f t="shared" si="3"/>
        <v>102720</v>
      </c>
    </row>
    <row r="23" spans="1:18" ht="12.75" customHeight="1">
      <c r="A23" s="1566" t="s">
        <v>258</v>
      </c>
      <c r="B23" s="1567" t="s">
        <v>121</v>
      </c>
      <c r="C23" s="340" t="s">
        <v>4</v>
      </c>
      <c r="D23" s="333"/>
      <c r="E23" s="325"/>
      <c r="F23" s="325"/>
      <c r="G23" s="325">
        <v>369</v>
      </c>
      <c r="H23" s="325">
        <v>100</v>
      </c>
      <c r="I23" s="325"/>
      <c r="J23" s="325"/>
      <c r="K23" s="325"/>
      <c r="L23" s="325"/>
      <c r="M23" s="325"/>
      <c r="N23" s="325"/>
      <c r="O23" s="325"/>
      <c r="P23" s="325">
        <v>20091</v>
      </c>
      <c r="Q23" s="344">
        <f t="shared" si="2"/>
        <v>469</v>
      </c>
      <c r="R23" s="348">
        <f t="shared" si="3"/>
        <v>20560</v>
      </c>
    </row>
    <row r="24" spans="1:18" ht="12.75" customHeight="1">
      <c r="A24" s="1566"/>
      <c r="B24" s="1567"/>
      <c r="C24" s="340" t="s">
        <v>892</v>
      </c>
      <c r="D24" s="333"/>
      <c r="E24" s="325"/>
      <c r="F24" s="325"/>
      <c r="G24" s="325">
        <v>378</v>
      </c>
      <c r="H24" s="325">
        <v>100</v>
      </c>
      <c r="I24" s="325"/>
      <c r="J24" s="325"/>
      <c r="K24" s="325"/>
      <c r="L24" s="325"/>
      <c r="M24" s="325"/>
      <c r="N24" s="325"/>
      <c r="O24" s="325"/>
      <c r="P24" s="325">
        <v>20266</v>
      </c>
      <c r="Q24" s="344">
        <f aca="true" t="shared" si="14" ref="Q24">SUM(D24:O24)</f>
        <v>478</v>
      </c>
      <c r="R24" s="348">
        <f aca="true" t="shared" si="15" ref="R24">SUM(D24:P24)</f>
        <v>20744</v>
      </c>
    </row>
    <row r="25" spans="1:18" ht="15">
      <c r="A25" s="1566"/>
      <c r="B25" s="1567"/>
      <c r="C25" s="340" t="s">
        <v>929</v>
      </c>
      <c r="D25" s="333"/>
      <c r="E25" s="325">
        <v>0</v>
      </c>
      <c r="F25" s="325"/>
      <c r="G25" s="325">
        <v>378</v>
      </c>
      <c r="H25" s="325">
        <v>100</v>
      </c>
      <c r="I25" s="325"/>
      <c r="J25" s="325"/>
      <c r="K25" s="325"/>
      <c r="L25" s="325"/>
      <c r="M25" s="325"/>
      <c r="N25" s="325"/>
      <c r="O25" s="325"/>
      <c r="P25" s="325">
        <v>16540</v>
      </c>
      <c r="Q25" s="344">
        <f t="shared" si="2"/>
        <v>478</v>
      </c>
      <c r="R25" s="348">
        <f t="shared" si="3"/>
        <v>17018</v>
      </c>
    </row>
    <row r="26" spans="1:18" ht="12.75" customHeight="1">
      <c r="A26" s="1566" t="s">
        <v>259</v>
      </c>
      <c r="B26" s="1567" t="s">
        <v>121</v>
      </c>
      <c r="C26" s="340" t="s">
        <v>4</v>
      </c>
      <c r="D26" s="333"/>
      <c r="E26" s="325">
        <v>15047</v>
      </c>
      <c r="F26" s="325"/>
      <c r="G26" s="325">
        <v>6141</v>
      </c>
      <c r="H26" s="325">
        <v>4571</v>
      </c>
      <c r="I26" s="325"/>
      <c r="J26" s="325"/>
      <c r="K26" s="325"/>
      <c r="L26" s="325"/>
      <c r="M26" s="325"/>
      <c r="N26" s="325"/>
      <c r="O26" s="325"/>
      <c r="P26" s="325">
        <v>144408</v>
      </c>
      <c r="Q26" s="344">
        <f t="shared" si="2"/>
        <v>25759</v>
      </c>
      <c r="R26" s="348">
        <f t="shared" si="3"/>
        <v>170167</v>
      </c>
    </row>
    <row r="27" spans="1:18" ht="12.75" customHeight="1">
      <c r="A27" s="1566"/>
      <c r="B27" s="1567"/>
      <c r="C27" s="340" t="s">
        <v>892</v>
      </c>
      <c r="D27" s="333"/>
      <c r="E27" s="325">
        <v>15047</v>
      </c>
      <c r="F27" s="325"/>
      <c r="G27" s="325">
        <v>9462</v>
      </c>
      <c r="H27" s="325">
        <v>4571</v>
      </c>
      <c r="I27" s="325"/>
      <c r="J27" s="325"/>
      <c r="K27" s="325"/>
      <c r="L27" s="325"/>
      <c r="M27" s="325"/>
      <c r="N27" s="325"/>
      <c r="O27" s="325">
        <v>1362</v>
      </c>
      <c r="P27" s="325">
        <v>164349</v>
      </c>
      <c r="Q27" s="344">
        <f aca="true" t="shared" si="16" ref="Q27">SUM(D27:O27)</f>
        <v>30442</v>
      </c>
      <c r="R27" s="348">
        <f aca="true" t="shared" si="17" ref="R27">SUM(D27:P27)</f>
        <v>194791</v>
      </c>
    </row>
    <row r="28" spans="1:18" ht="15">
      <c r="A28" s="1566"/>
      <c r="B28" s="1567"/>
      <c r="C28" s="340" t="s">
        <v>929</v>
      </c>
      <c r="D28" s="333"/>
      <c r="E28" s="325">
        <v>14947</v>
      </c>
      <c r="F28" s="325"/>
      <c r="G28" s="325">
        <v>10343</v>
      </c>
      <c r="H28" s="325">
        <v>4224</v>
      </c>
      <c r="I28" s="325"/>
      <c r="J28" s="325"/>
      <c r="K28" s="325"/>
      <c r="L28" s="325"/>
      <c r="M28" s="325"/>
      <c r="N28" s="325"/>
      <c r="O28" s="325">
        <v>1363</v>
      </c>
      <c r="P28" s="325">
        <v>163982</v>
      </c>
      <c r="Q28" s="344">
        <f t="shared" si="2"/>
        <v>30877</v>
      </c>
      <c r="R28" s="348">
        <f t="shared" si="3"/>
        <v>194859</v>
      </c>
    </row>
    <row r="29" spans="1:18" ht="12.75" customHeight="1">
      <c r="A29" s="1566" t="s">
        <v>260</v>
      </c>
      <c r="B29" s="1567" t="s">
        <v>121</v>
      </c>
      <c r="C29" s="340" t="s">
        <v>4</v>
      </c>
      <c r="D29" s="333"/>
      <c r="E29" s="325"/>
      <c r="F29" s="325"/>
      <c r="G29" s="325">
        <v>17777</v>
      </c>
      <c r="H29" s="325">
        <v>4800</v>
      </c>
      <c r="I29" s="325"/>
      <c r="J29" s="325"/>
      <c r="K29" s="325"/>
      <c r="L29" s="325"/>
      <c r="M29" s="325"/>
      <c r="N29" s="325"/>
      <c r="O29" s="325"/>
      <c r="P29" s="325">
        <v>52976</v>
      </c>
      <c r="Q29" s="344">
        <f t="shared" si="2"/>
        <v>22577</v>
      </c>
      <c r="R29" s="348">
        <f t="shared" si="3"/>
        <v>75553</v>
      </c>
    </row>
    <row r="30" spans="1:18" ht="12.75" customHeight="1">
      <c r="A30" s="1566"/>
      <c r="B30" s="1567"/>
      <c r="C30" s="340" t="s">
        <v>892</v>
      </c>
      <c r="D30" s="333"/>
      <c r="E30" s="325"/>
      <c r="F30" s="325"/>
      <c r="G30" s="325">
        <v>18315</v>
      </c>
      <c r="H30" s="325">
        <v>4800</v>
      </c>
      <c r="I30" s="325"/>
      <c r="J30" s="325"/>
      <c r="K30" s="325"/>
      <c r="L30" s="325"/>
      <c r="M30" s="325"/>
      <c r="N30" s="325"/>
      <c r="O30" s="325"/>
      <c r="P30" s="325">
        <v>54348</v>
      </c>
      <c r="Q30" s="344">
        <f aca="true" t="shared" si="18" ref="Q30">SUM(D30:O30)</f>
        <v>23115</v>
      </c>
      <c r="R30" s="348">
        <f aca="true" t="shared" si="19" ref="R30">SUM(D30:P30)</f>
        <v>77463</v>
      </c>
    </row>
    <row r="31" spans="1:18" ht="15">
      <c r="A31" s="1566"/>
      <c r="B31" s="1567"/>
      <c r="C31" s="340" t="s">
        <v>929</v>
      </c>
      <c r="D31" s="333"/>
      <c r="E31" s="325"/>
      <c r="F31" s="325"/>
      <c r="G31" s="325">
        <v>20053</v>
      </c>
      <c r="H31" s="325">
        <v>5415</v>
      </c>
      <c r="I31" s="325"/>
      <c r="J31" s="325"/>
      <c r="K31" s="325"/>
      <c r="L31" s="325"/>
      <c r="M31" s="325"/>
      <c r="N31" s="325"/>
      <c r="O31" s="325"/>
      <c r="P31" s="325">
        <v>47133</v>
      </c>
      <c r="Q31" s="344">
        <f t="shared" si="2"/>
        <v>25468</v>
      </c>
      <c r="R31" s="348">
        <f t="shared" si="3"/>
        <v>72601</v>
      </c>
    </row>
    <row r="32" spans="1:18" ht="12.75" customHeight="1">
      <c r="A32" s="1566" t="s">
        <v>261</v>
      </c>
      <c r="B32" s="1567" t="s">
        <v>121</v>
      </c>
      <c r="C32" s="340" t="s">
        <v>4</v>
      </c>
      <c r="D32" s="333"/>
      <c r="E32" s="325"/>
      <c r="F32" s="325"/>
      <c r="G32" s="325">
        <v>11937</v>
      </c>
      <c r="H32" s="325">
        <v>3223</v>
      </c>
      <c r="I32" s="325"/>
      <c r="J32" s="325"/>
      <c r="K32" s="325"/>
      <c r="L32" s="325"/>
      <c r="M32" s="325"/>
      <c r="N32" s="325"/>
      <c r="O32" s="325"/>
      <c r="P32" s="325">
        <v>23994</v>
      </c>
      <c r="Q32" s="344">
        <f t="shared" si="2"/>
        <v>15160</v>
      </c>
      <c r="R32" s="348">
        <f t="shared" si="3"/>
        <v>39154</v>
      </c>
    </row>
    <row r="33" spans="1:18" ht="12.75" customHeight="1">
      <c r="A33" s="1566"/>
      <c r="B33" s="1567"/>
      <c r="C33" s="340" t="s">
        <v>892</v>
      </c>
      <c r="D33" s="333"/>
      <c r="E33" s="325"/>
      <c r="F33" s="325"/>
      <c r="G33" s="325">
        <v>12317</v>
      </c>
      <c r="H33" s="325">
        <v>3223</v>
      </c>
      <c r="I33" s="325"/>
      <c r="J33" s="325"/>
      <c r="K33" s="325"/>
      <c r="L33" s="325"/>
      <c r="M33" s="325"/>
      <c r="N33" s="325"/>
      <c r="O33" s="325"/>
      <c r="P33" s="325">
        <v>24729</v>
      </c>
      <c r="Q33" s="344">
        <f aca="true" t="shared" si="20" ref="Q33">SUM(D33:O33)</f>
        <v>15540</v>
      </c>
      <c r="R33" s="348">
        <f aca="true" t="shared" si="21" ref="R33">SUM(D33:P33)</f>
        <v>40269</v>
      </c>
    </row>
    <row r="34" spans="1:18" ht="15">
      <c r="A34" s="1566"/>
      <c r="B34" s="1567"/>
      <c r="C34" s="340" t="s">
        <v>929</v>
      </c>
      <c r="D34" s="333"/>
      <c r="E34" s="325"/>
      <c r="F34" s="325"/>
      <c r="G34" s="325">
        <v>14253</v>
      </c>
      <c r="H34" s="325">
        <v>3849</v>
      </c>
      <c r="I34" s="325"/>
      <c r="J34" s="325"/>
      <c r="K34" s="325"/>
      <c r="L34" s="325"/>
      <c r="M34" s="325"/>
      <c r="N34" s="325"/>
      <c r="O34" s="325"/>
      <c r="P34" s="325">
        <v>29591</v>
      </c>
      <c r="Q34" s="344">
        <f t="shared" si="2"/>
        <v>18102</v>
      </c>
      <c r="R34" s="348">
        <f t="shared" si="3"/>
        <v>47693</v>
      </c>
    </row>
    <row r="35" spans="1:18" s="324" customFormat="1" ht="12.75" customHeight="1">
      <c r="A35" s="1555" t="s">
        <v>262</v>
      </c>
      <c r="B35" s="1558" t="s">
        <v>121</v>
      </c>
      <c r="C35" s="341" t="s">
        <v>4</v>
      </c>
      <c r="D35" s="335">
        <f>D29+D32</f>
        <v>0</v>
      </c>
      <c r="E35" s="327">
        <f aca="true" t="shared" si="22" ref="E35:P35">E29+E32</f>
        <v>0</v>
      </c>
      <c r="F35" s="327">
        <f t="shared" si="22"/>
        <v>0</v>
      </c>
      <c r="G35" s="327">
        <f t="shared" si="22"/>
        <v>29714</v>
      </c>
      <c r="H35" s="327">
        <f aca="true" t="shared" si="23" ref="H35">H29+H32</f>
        <v>8023</v>
      </c>
      <c r="I35" s="327">
        <f t="shared" si="22"/>
        <v>0</v>
      </c>
      <c r="J35" s="327">
        <f t="shared" si="22"/>
        <v>0</v>
      </c>
      <c r="K35" s="327">
        <f t="shared" si="22"/>
        <v>0</v>
      </c>
      <c r="L35" s="327">
        <f t="shared" si="22"/>
        <v>0</v>
      </c>
      <c r="M35" s="327">
        <f t="shared" si="22"/>
        <v>0</v>
      </c>
      <c r="N35" s="327">
        <f t="shared" si="22"/>
        <v>0</v>
      </c>
      <c r="O35" s="327">
        <f t="shared" si="22"/>
        <v>0</v>
      </c>
      <c r="P35" s="327">
        <f t="shared" si="22"/>
        <v>76970</v>
      </c>
      <c r="Q35" s="345">
        <f t="shared" si="2"/>
        <v>37737</v>
      </c>
      <c r="R35" s="349">
        <f t="shared" si="3"/>
        <v>114707</v>
      </c>
    </row>
    <row r="36" spans="1:18" s="324" customFormat="1" ht="12.75" customHeight="1">
      <c r="A36" s="1555"/>
      <c r="B36" s="1558"/>
      <c r="C36" s="341" t="s">
        <v>803</v>
      </c>
      <c r="D36" s="335">
        <f aca="true" t="shared" si="24" ref="D36:P37">D30+D33</f>
        <v>0</v>
      </c>
      <c r="E36" s="327">
        <f t="shared" si="24"/>
        <v>0</v>
      </c>
      <c r="F36" s="327">
        <f t="shared" si="24"/>
        <v>0</v>
      </c>
      <c r="G36" s="327">
        <f t="shared" si="24"/>
        <v>30632</v>
      </c>
      <c r="H36" s="327">
        <f aca="true" t="shared" si="25" ref="H36:H37">H30+H33</f>
        <v>8023</v>
      </c>
      <c r="I36" s="327">
        <f t="shared" si="24"/>
        <v>0</v>
      </c>
      <c r="J36" s="327">
        <f t="shared" si="24"/>
        <v>0</v>
      </c>
      <c r="K36" s="327">
        <f t="shared" si="24"/>
        <v>0</v>
      </c>
      <c r="L36" s="327">
        <f t="shared" si="24"/>
        <v>0</v>
      </c>
      <c r="M36" s="327">
        <f t="shared" si="24"/>
        <v>0</v>
      </c>
      <c r="N36" s="327">
        <f t="shared" si="24"/>
        <v>0</v>
      </c>
      <c r="O36" s="327">
        <f t="shared" si="24"/>
        <v>0</v>
      </c>
      <c r="P36" s="327">
        <f t="shared" si="24"/>
        <v>79077</v>
      </c>
      <c r="Q36" s="345">
        <f aca="true" t="shared" si="26" ref="Q36">SUM(D36:O36)</f>
        <v>38655</v>
      </c>
      <c r="R36" s="349">
        <f aca="true" t="shared" si="27" ref="R36">SUM(D36:P36)</f>
        <v>117732</v>
      </c>
    </row>
    <row r="37" spans="1:18" s="324" customFormat="1" ht="14.25">
      <c r="A37" s="1555"/>
      <c r="B37" s="1558"/>
      <c r="C37" s="341" t="s">
        <v>994</v>
      </c>
      <c r="D37" s="335">
        <f t="shared" si="24"/>
        <v>0</v>
      </c>
      <c r="E37" s="327">
        <f t="shared" si="24"/>
        <v>0</v>
      </c>
      <c r="F37" s="327">
        <f t="shared" si="24"/>
        <v>0</v>
      </c>
      <c r="G37" s="327">
        <f t="shared" si="24"/>
        <v>34306</v>
      </c>
      <c r="H37" s="327">
        <f t="shared" si="25"/>
        <v>9264</v>
      </c>
      <c r="I37" s="327">
        <f t="shared" si="24"/>
        <v>0</v>
      </c>
      <c r="J37" s="327">
        <f t="shared" si="24"/>
        <v>0</v>
      </c>
      <c r="K37" s="327">
        <f t="shared" si="24"/>
        <v>0</v>
      </c>
      <c r="L37" s="327">
        <f t="shared" si="24"/>
        <v>0</v>
      </c>
      <c r="M37" s="327">
        <f t="shared" si="24"/>
        <v>0</v>
      </c>
      <c r="N37" s="327">
        <f t="shared" si="24"/>
        <v>0</v>
      </c>
      <c r="O37" s="327">
        <f t="shared" si="24"/>
        <v>0</v>
      </c>
      <c r="P37" s="327">
        <f t="shared" si="24"/>
        <v>76724</v>
      </c>
      <c r="Q37" s="345">
        <f t="shared" si="2"/>
        <v>43570</v>
      </c>
      <c r="R37" s="349">
        <f t="shared" si="3"/>
        <v>120294</v>
      </c>
    </row>
    <row r="38" spans="1:18" ht="12.75" customHeight="1">
      <c r="A38" s="1566" t="s">
        <v>263</v>
      </c>
      <c r="B38" s="1567" t="s">
        <v>121</v>
      </c>
      <c r="C38" s="340" t="s">
        <v>4</v>
      </c>
      <c r="D38" s="333"/>
      <c r="E38" s="325">
        <v>13500</v>
      </c>
      <c r="F38" s="325"/>
      <c r="G38" s="325">
        <v>19764</v>
      </c>
      <c r="H38" s="325">
        <v>5336</v>
      </c>
      <c r="I38" s="325"/>
      <c r="J38" s="325"/>
      <c r="K38" s="325"/>
      <c r="L38" s="325"/>
      <c r="M38" s="325"/>
      <c r="N38" s="325"/>
      <c r="O38" s="325"/>
      <c r="P38" s="325">
        <v>72478</v>
      </c>
      <c r="Q38" s="344">
        <f t="shared" si="2"/>
        <v>38600</v>
      </c>
      <c r="R38" s="348">
        <f t="shared" si="3"/>
        <v>111078</v>
      </c>
    </row>
    <row r="39" spans="1:18" ht="12.75" customHeight="1">
      <c r="A39" s="1566"/>
      <c r="B39" s="1567"/>
      <c r="C39" s="340" t="s">
        <v>892</v>
      </c>
      <c r="D39" s="333"/>
      <c r="E39" s="325">
        <v>13500</v>
      </c>
      <c r="F39" s="325"/>
      <c r="G39" s="325">
        <v>20352</v>
      </c>
      <c r="H39" s="325">
        <v>5336</v>
      </c>
      <c r="I39" s="325"/>
      <c r="J39" s="325"/>
      <c r="K39" s="325"/>
      <c r="L39" s="325"/>
      <c r="M39" s="325"/>
      <c r="N39" s="325"/>
      <c r="O39" s="325"/>
      <c r="P39" s="325">
        <v>73899</v>
      </c>
      <c r="Q39" s="344">
        <f aca="true" t="shared" si="28" ref="Q39">SUM(D39:O39)</f>
        <v>39188</v>
      </c>
      <c r="R39" s="348">
        <f aca="true" t="shared" si="29" ref="R39">SUM(D39:P39)</f>
        <v>113087</v>
      </c>
    </row>
    <row r="40" spans="1:18" ht="15">
      <c r="A40" s="1566"/>
      <c r="B40" s="1567"/>
      <c r="C40" s="340" t="s">
        <v>929</v>
      </c>
      <c r="D40" s="333"/>
      <c r="E40" s="325">
        <v>12572</v>
      </c>
      <c r="F40" s="325"/>
      <c r="G40" s="325">
        <v>20175</v>
      </c>
      <c r="H40" s="325">
        <v>5341</v>
      </c>
      <c r="I40" s="325"/>
      <c r="J40" s="325"/>
      <c r="K40" s="325"/>
      <c r="L40" s="325"/>
      <c r="M40" s="325"/>
      <c r="N40" s="325"/>
      <c r="O40" s="325"/>
      <c r="P40" s="325">
        <v>77214</v>
      </c>
      <c r="Q40" s="344">
        <f t="shared" si="2"/>
        <v>38088</v>
      </c>
      <c r="R40" s="348">
        <f t="shared" si="3"/>
        <v>115302</v>
      </c>
    </row>
    <row r="41" spans="1:18" ht="12.75" customHeight="1">
      <c r="A41" s="1566" t="s">
        <v>264</v>
      </c>
      <c r="B41" s="1567" t="s">
        <v>121</v>
      </c>
      <c r="C41" s="340" t="s">
        <v>4</v>
      </c>
      <c r="D41" s="333"/>
      <c r="E41" s="325"/>
      <c r="F41" s="325"/>
      <c r="G41" s="325">
        <v>8708</v>
      </c>
      <c r="H41" s="325">
        <v>1786</v>
      </c>
      <c r="I41" s="325"/>
      <c r="J41" s="325"/>
      <c r="K41" s="325"/>
      <c r="L41" s="325"/>
      <c r="M41" s="325"/>
      <c r="N41" s="325"/>
      <c r="O41" s="325"/>
      <c r="P41" s="325">
        <v>21543</v>
      </c>
      <c r="Q41" s="344">
        <f t="shared" si="2"/>
        <v>10494</v>
      </c>
      <c r="R41" s="348">
        <f t="shared" si="3"/>
        <v>32037</v>
      </c>
    </row>
    <row r="42" spans="1:18" ht="12.75" customHeight="1">
      <c r="A42" s="1566"/>
      <c r="B42" s="1567"/>
      <c r="C42" s="340" t="s">
        <v>892</v>
      </c>
      <c r="D42" s="333"/>
      <c r="E42" s="325"/>
      <c r="F42" s="325"/>
      <c r="G42" s="325">
        <v>8943</v>
      </c>
      <c r="H42" s="325">
        <v>1786</v>
      </c>
      <c r="I42" s="325"/>
      <c r="J42" s="325"/>
      <c r="K42" s="325"/>
      <c r="L42" s="325"/>
      <c r="M42" s="325"/>
      <c r="N42" s="325"/>
      <c r="O42" s="325"/>
      <c r="P42" s="325">
        <v>22418</v>
      </c>
      <c r="Q42" s="344">
        <f aca="true" t="shared" si="30" ref="Q42">SUM(D42:O42)</f>
        <v>10729</v>
      </c>
      <c r="R42" s="348">
        <f aca="true" t="shared" si="31" ref="R42">SUM(D42:P42)</f>
        <v>33147</v>
      </c>
    </row>
    <row r="43" spans="1:18" ht="15">
      <c r="A43" s="1566"/>
      <c r="B43" s="1567"/>
      <c r="C43" s="340" t="s">
        <v>929</v>
      </c>
      <c r="D43" s="333"/>
      <c r="E43" s="325"/>
      <c r="F43" s="325"/>
      <c r="G43" s="325">
        <v>8615</v>
      </c>
      <c r="H43" s="325">
        <v>2114</v>
      </c>
      <c r="I43" s="325"/>
      <c r="J43" s="325"/>
      <c r="K43" s="325"/>
      <c r="L43" s="325"/>
      <c r="M43" s="325"/>
      <c r="N43" s="325"/>
      <c r="O43" s="325"/>
      <c r="P43" s="325">
        <v>22418</v>
      </c>
      <c r="Q43" s="344">
        <f t="shared" si="2"/>
        <v>10729</v>
      </c>
      <c r="R43" s="348">
        <f t="shared" si="3"/>
        <v>33147</v>
      </c>
    </row>
    <row r="44" spans="1:18" s="324" customFormat="1" ht="12.75" customHeight="1">
      <c r="A44" s="1555" t="s">
        <v>265</v>
      </c>
      <c r="B44" s="1558" t="s">
        <v>121</v>
      </c>
      <c r="C44" s="341" t="s">
        <v>4</v>
      </c>
      <c r="D44" s="335">
        <f>D38+D41</f>
        <v>0</v>
      </c>
      <c r="E44" s="327">
        <f aca="true" t="shared" si="32" ref="E44:P44">E38+E41</f>
        <v>13500</v>
      </c>
      <c r="F44" s="327">
        <f t="shared" si="32"/>
        <v>0</v>
      </c>
      <c r="G44" s="327">
        <f t="shared" si="32"/>
        <v>28472</v>
      </c>
      <c r="H44" s="327">
        <f aca="true" t="shared" si="33" ref="H44">H38+H41</f>
        <v>7122</v>
      </c>
      <c r="I44" s="327">
        <f t="shared" si="32"/>
        <v>0</v>
      </c>
      <c r="J44" s="327">
        <f t="shared" si="32"/>
        <v>0</v>
      </c>
      <c r="K44" s="327">
        <f t="shared" si="32"/>
        <v>0</v>
      </c>
      <c r="L44" s="327">
        <f t="shared" si="32"/>
        <v>0</v>
      </c>
      <c r="M44" s="327">
        <f t="shared" si="32"/>
        <v>0</v>
      </c>
      <c r="N44" s="327">
        <f t="shared" si="32"/>
        <v>0</v>
      </c>
      <c r="O44" s="327">
        <f t="shared" si="32"/>
        <v>0</v>
      </c>
      <c r="P44" s="327">
        <f t="shared" si="32"/>
        <v>94021</v>
      </c>
      <c r="Q44" s="345">
        <f t="shared" si="2"/>
        <v>49094</v>
      </c>
      <c r="R44" s="349">
        <f t="shared" si="3"/>
        <v>143115</v>
      </c>
    </row>
    <row r="45" spans="1:18" s="324" customFormat="1" ht="12.75" customHeight="1">
      <c r="A45" s="1555"/>
      <c r="B45" s="1558"/>
      <c r="C45" s="341" t="s">
        <v>803</v>
      </c>
      <c r="D45" s="335">
        <f aca="true" t="shared" si="34" ref="D45:P46">D39+D42</f>
        <v>0</v>
      </c>
      <c r="E45" s="327">
        <f t="shared" si="34"/>
        <v>13500</v>
      </c>
      <c r="F45" s="327">
        <f t="shared" si="34"/>
        <v>0</v>
      </c>
      <c r="G45" s="327">
        <f t="shared" si="34"/>
        <v>29295</v>
      </c>
      <c r="H45" s="327">
        <f aca="true" t="shared" si="35" ref="H45:H46">H39+H42</f>
        <v>7122</v>
      </c>
      <c r="I45" s="327">
        <f t="shared" si="34"/>
        <v>0</v>
      </c>
      <c r="J45" s="327">
        <f t="shared" si="34"/>
        <v>0</v>
      </c>
      <c r="K45" s="327">
        <f t="shared" si="34"/>
        <v>0</v>
      </c>
      <c r="L45" s="327">
        <f t="shared" si="34"/>
        <v>0</v>
      </c>
      <c r="M45" s="327">
        <f t="shared" si="34"/>
        <v>0</v>
      </c>
      <c r="N45" s="327">
        <f t="shared" si="34"/>
        <v>0</v>
      </c>
      <c r="O45" s="327">
        <f t="shared" si="34"/>
        <v>0</v>
      </c>
      <c r="P45" s="327">
        <f t="shared" si="34"/>
        <v>96317</v>
      </c>
      <c r="Q45" s="345">
        <f aca="true" t="shared" si="36" ref="Q45">SUM(D45:O45)</f>
        <v>49917</v>
      </c>
      <c r="R45" s="349">
        <f aca="true" t="shared" si="37" ref="R45">SUM(D45:P45)</f>
        <v>146234</v>
      </c>
    </row>
    <row r="46" spans="1:18" s="324" customFormat="1" ht="14.25">
      <c r="A46" s="1555"/>
      <c r="B46" s="1558"/>
      <c r="C46" s="341" t="s">
        <v>993</v>
      </c>
      <c r="D46" s="335">
        <f t="shared" si="34"/>
        <v>0</v>
      </c>
      <c r="E46" s="327">
        <f t="shared" si="34"/>
        <v>12572</v>
      </c>
      <c r="F46" s="327">
        <f t="shared" si="34"/>
        <v>0</v>
      </c>
      <c r="G46" s="327">
        <f t="shared" si="34"/>
        <v>28790</v>
      </c>
      <c r="H46" s="327">
        <f t="shared" si="35"/>
        <v>7455</v>
      </c>
      <c r="I46" s="327">
        <f t="shared" si="34"/>
        <v>0</v>
      </c>
      <c r="J46" s="327">
        <f t="shared" si="34"/>
        <v>0</v>
      </c>
      <c r="K46" s="327">
        <f t="shared" si="34"/>
        <v>0</v>
      </c>
      <c r="L46" s="327">
        <f t="shared" si="34"/>
        <v>0</v>
      </c>
      <c r="M46" s="327">
        <f t="shared" si="34"/>
        <v>0</v>
      </c>
      <c r="N46" s="327">
        <f t="shared" si="34"/>
        <v>0</v>
      </c>
      <c r="O46" s="327">
        <f t="shared" si="34"/>
        <v>0</v>
      </c>
      <c r="P46" s="327">
        <f t="shared" si="34"/>
        <v>99632</v>
      </c>
      <c r="Q46" s="345">
        <f t="shared" si="2"/>
        <v>48817</v>
      </c>
      <c r="R46" s="349">
        <f t="shared" si="3"/>
        <v>148449</v>
      </c>
    </row>
    <row r="47" spans="1:18" ht="12.75" customHeight="1">
      <c r="A47" s="1566" t="s">
        <v>266</v>
      </c>
      <c r="B47" s="1567" t="s">
        <v>121</v>
      </c>
      <c r="C47" s="340" t="s">
        <v>4</v>
      </c>
      <c r="D47" s="333"/>
      <c r="E47" s="325"/>
      <c r="F47" s="325"/>
      <c r="G47" s="325">
        <v>3872</v>
      </c>
      <c r="H47" s="325">
        <v>1045</v>
      </c>
      <c r="I47" s="325"/>
      <c r="J47" s="325"/>
      <c r="K47" s="325"/>
      <c r="L47" s="325"/>
      <c r="M47" s="325"/>
      <c r="N47" s="325"/>
      <c r="O47" s="325"/>
      <c r="P47" s="325">
        <v>25689</v>
      </c>
      <c r="Q47" s="344">
        <f t="shared" si="2"/>
        <v>4917</v>
      </c>
      <c r="R47" s="348">
        <f t="shared" si="3"/>
        <v>30606</v>
      </c>
    </row>
    <row r="48" spans="1:18" ht="12.75" customHeight="1">
      <c r="A48" s="1566"/>
      <c r="B48" s="1567"/>
      <c r="C48" s="340" t="s">
        <v>892</v>
      </c>
      <c r="D48" s="333"/>
      <c r="E48" s="325"/>
      <c r="F48" s="325"/>
      <c r="G48" s="325">
        <v>3990</v>
      </c>
      <c r="H48" s="325">
        <v>1045</v>
      </c>
      <c r="I48" s="325"/>
      <c r="J48" s="325"/>
      <c r="K48" s="325"/>
      <c r="L48" s="325"/>
      <c r="M48" s="325"/>
      <c r="N48" s="325"/>
      <c r="O48" s="325"/>
      <c r="P48" s="325">
        <v>26277</v>
      </c>
      <c r="Q48" s="344">
        <f aca="true" t="shared" si="38" ref="Q48">SUM(D48:O48)</f>
        <v>5035</v>
      </c>
      <c r="R48" s="348">
        <f aca="true" t="shared" si="39" ref="R48">SUM(D48:P48)</f>
        <v>31312</v>
      </c>
    </row>
    <row r="49" spans="1:18" ht="15">
      <c r="A49" s="1566"/>
      <c r="B49" s="1567"/>
      <c r="C49" s="340" t="s">
        <v>929</v>
      </c>
      <c r="D49" s="333"/>
      <c r="E49" s="325"/>
      <c r="F49" s="325"/>
      <c r="G49" s="325">
        <v>4457</v>
      </c>
      <c r="H49" s="325">
        <v>1204</v>
      </c>
      <c r="I49" s="325"/>
      <c r="J49" s="325"/>
      <c r="K49" s="325"/>
      <c r="L49" s="325"/>
      <c r="M49" s="325"/>
      <c r="N49" s="325"/>
      <c r="O49" s="325"/>
      <c r="P49" s="325">
        <v>25651</v>
      </c>
      <c r="Q49" s="344">
        <f t="shared" si="2"/>
        <v>5661</v>
      </c>
      <c r="R49" s="348">
        <f t="shared" si="3"/>
        <v>31312</v>
      </c>
    </row>
    <row r="50" spans="1:18" ht="12.75" customHeight="1">
      <c r="A50" s="1566" t="s">
        <v>267</v>
      </c>
      <c r="B50" s="1567" t="s">
        <v>121</v>
      </c>
      <c r="C50" s="340" t="s">
        <v>4</v>
      </c>
      <c r="D50" s="333"/>
      <c r="E50" s="325"/>
      <c r="F50" s="325"/>
      <c r="G50" s="325">
        <v>2979</v>
      </c>
      <c r="H50" s="325">
        <v>804</v>
      </c>
      <c r="I50" s="325"/>
      <c r="J50" s="325"/>
      <c r="K50" s="325"/>
      <c r="L50" s="325"/>
      <c r="M50" s="325"/>
      <c r="N50" s="325"/>
      <c r="O50" s="325"/>
      <c r="P50" s="325">
        <v>6477</v>
      </c>
      <c r="Q50" s="344">
        <f t="shared" si="2"/>
        <v>3783</v>
      </c>
      <c r="R50" s="348">
        <f t="shared" si="3"/>
        <v>10260</v>
      </c>
    </row>
    <row r="51" spans="1:18" ht="12.75" customHeight="1">
      <c r="A51" s="1566"/>
      <c r="B51" s="1567"/>
      <c r="C51" s="340" t="s">
        <v>892</v>
      </c>
      <c r="D51" s="333"/>
      <c r="E51" s="325"/>
      <c r="F51" s="325"/>
      <c r="G51" s="325">
        <v>3046</v>
      </c>
      <c r="H51" s="325">
        <v>804</v>
      </c>
      <c r="I51" s="325"/>
      <c r="J51" s="325"/>
      <c r="K51" s="325"/>
      <c r="L51" s="325"/>
      <c r="M51" s="325"/>
      <c r="N51" s="325"/>
      <c r="O51" s="325"/>
      <c r="P51" s="325">
        <v>6673</v>
      </c>
      <c r="Q51" s="344">
        <f aca="true" t="shared" si="40" ref="Q51">SUM(D51:O51)</f>
        <v>3850</v>
      </c>
      <c r="R51" s="348">
        <f aca="true" t="shared" si="41" ref="R51">SUM(D51:P51)</f>
        <v>10523</v>
      </c>
    </row>
    <row r="52" spans="1:18" ht="15">
      <c r="A52" s="1566"/>
      <c r="B52" s="1567"/>
      <c r="C52" s="340" t="s">
        <v>929</v>
      </c>
      <c r="D52" s="333"/>
      <c r="E52" s="325"/>
      <c r="F52" s="325"/>
      <c r="G52" s="325">
        <v>3505</v>
      </c>
      <c r="H52" s="325">
        <v>947</v>
      </c>
      <c r="I52" s="325"/>
      <c r="J52" s="325"/>
      <c r="K52" s="325"/>
      <c r="L52" s="325"/>
      <c r="M52" s="325"/>
      <c r="N52" s="325"/>
      <c r="O52" s="325"/>
      <c r="P52" s="325">
        <v>6775</v>
      </c>
      <c r="Q52" s="344">
        <f t="shared" si="2"/>
        <v>4452</v>
      </c>
      <c r="R52" s="348">
        <f t="shared" si="3"/>
        <v>11227</v>
      </c>
    </row>
    <row r="53" spans="1:18" ht="12.75" customHeight="1">
      <c r="A53" s="1566" t="s">
        <v>829</v>
      </c>
      <c r="B53" s="1567" t="s">
        <v>121</v>
      </c>
      <c r="C53" s="340" t="s">
        <v>4</v>
      </c>
      <c r="D53" s="33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44">
        <f aca="true" t="shared" si="42" ref="Q53:Q55">SUM(D53:O53)</f>
        <v>0</v>
      </c>
      <c r="R53" s="348">
        <f aca="true" t="shared" si="43" ref="R53:R55">SUM(D53:P53)</f>
        <v>0</v>
      </c>
    </row>
    <row r="54" spans="1:18" ht="12.75" customHeight="1">
      <c r="A54" s="1566"/>
      <c r="B54" s="1567"/>
      <c r="C54" s="340" t="s">
        <v>892</v>
      </c>
      <c r="D54" s="333"/>
      <c r="E54" s="325"/>
      <c r="F54" s="325"/>
      <c r="G54" s="325">
        <v>4500</v>
      </c>
      <c r="H54" s="325"/>
      <c r="I54" s="325"/>
      <c r="J54" s="325"/>
      <c r="K54" s="325"/>
      <c r="L54" s="325"/>
      <c r="M54" s="325"/>
      <c r="N54" s="325"/>
      <c r="O54" s="325"/>
      <c r="P54" s="325">
        <v>9500</v>
      </c>
      <c r="Q54" s="344">
        <f aca="true" t="shared" si="44" ref="Q54">SUM(D54:O54)</f>
        <v>4500</v>
      </c>
      <c r="R54" s="348">
        <f aca="true" t="shared" si="45" ref="R54">SUM(D54:P54)</f>
        <v>14000</v>
      </c>
    </row>
    <row r="55" spans="1:18" ht="15">
      <c r="A55" s="1566"/>
      <c r="B55" s="1567"/>
      <c r="C55" s="340" t="s">
        <v>929</v>
      </c>
      <c r="D55" s="333"/>
      <c r="E55" s="325"/>
      <c r="F55" s="325"/>
      <c r="G55" s="325">
        <v>4740</v>
      </c>
      <c r="H55" s="325">
        <v>1280</v>
      </c>
      <c r="I55" s="325"/>
      <c r="J55" s="325"/>
      <c r="K55" s="325"/>
      <c r="L55" s="325"/>
      <c r="M55" s="325"/>
      <c r="N55" s="325"/>
      <c r="O55" s="325"/>
      <c r="P55" s="325">
        <v>9505</v>
      </c>
      <c r="Q55" s="344">
        <f t="shared" si="42"/>
        <v>6020</v>
      </c>
      <c r="R55" s="348">
        <f t="shared" si="43"/>
        <v>15525</v>
      </c>
    </row>
    <row r="56" spans="1:18" ht="12.75" customHeight="1">
      <c r="A56" s="1566" t="s">
        <v>268</v>
      </c>
      <c r="B56" s="1567" t="s">
        <v>283</v>
      </c>
      <c r="C56" s="340" t="s">
        <v>4</v>
      </c>
      <c r="D56" s="333"/>
      <c r="E56" s="325">
        <v>366</v>
      </c>
      <c r="F56" s="325"/>
      <c r="G56" s="325"/>
      <c r="H56" s="325">
        <v>18585</v>
      </c>
      <c r="I56" s="325"/>
      <c r="J56" s="325"/>
      <c r="K56" s="325"/>
      <c r="L56" s="325"/>
      <c r="M56" s="325"/>
      <c r="N56" s="325"/>
      <c r="O56" s="325"/>
      <c r="P56" s="325">
        <v>64309</v>
      </c>
      <c r="Q56" s="344">
        <f t="shared" si="2"/>
        <v>18951</v>
      </c>
      <c r="R56" s="348">
        <f t="shared" si="3"/>
        <v>83260</v>
      </c>
    </row>
    <row r="57" spans="1:18" ht="12.75" customHeight="1">
      <c r="A57" s="1566"/>
      <c r="B57" s="1567"/>
      <c r="C57" s="340" t="s">
        <v>892</v>
      </c>
      <c r="D57" s="333"/>
      <c r="E57" s="325">
        <v>366</v>
      </c>
      <c r="F57" s="325"/>
      <c r="G57" s="325"/>
      <c r="H57" s="325">
        <v>18585</v>
      </c>
      <c r="I57" s="325"/>
      <c r="J57" s="325"/>
      <c r="K57" s="325"/>
      <c r="L57" s="325">
        <v>446</v>
      </c>
      <c r="M57" s="325"/>
      <c r="N57" s="325"/>
      <c r="O57" s="325">
        <v>603</v>
      </c>
      <c r="P57" s="325">
        <v>55036</v>
      </c>
      <c r="Q57" s="344">
        <f aca="true" t="shared" si="46" ref="Q57">SUM(D57:O57)</f>
        <v>20000</v>
      </c>
      <c r="R57" s="348">
        <f aca="true" t="shared" si="47" ref="R57">SUM(D57:P57)</f>
        <v>75036</v>
      </c>
    </row>
    <row r="58" spans="1:18" ht="15">
      <c r="A58" s="1566"/>
      <c r="B58" s="1567"/>
      <c r="C58" s="340" t="s">
        <v>929</v>
      </c>
      <c r="D58" s="333"/>
      <c r="E58" s="325">
        <v>365</v>
      </c>
      <c r="F58" s="325"/>
      <c r="G58" s="325"/>
      <c r="H58" s="325">
        <v>20661</v>
      </c>
      <c r="I58" s="325"/>
      <c r="J58" s="325"/>
      <c r="K58" s="325"/>
      <c r="L58" s="325">
        <v>446</v>
      </c>
      <c r="M58" s="325"/>
      <c r="N58" s="325"/>
      <c r="O58" s="325">
        <v>604</v>
      </c>
      <c r="P58" s="325">
        <v>44663</v>
      </c>
      <c r="Q58" s="344">
        <f t="shared" si="2"/>
        <v>22076</v>
      </c>
      <c r="R58" s="348">
        <f t="shared" si="3"/>
        <v>66739</v>
      </c>
    </row>
    <row r="59" spans="1:18" s="324" customFormat="1" ht="12.75" customHeight="1">
      <c r="A59" s="1555" t="s">
        <v>270</v>
      </c>
      <c r="B59" s="1562"/>
      <c r="C59" s="341" t="s">
        <v>4</v>
      </c>
      <c r="D59" s="336">
        <f>D35+D44+D47+D50+D56+D53</f>
        <v>0</v>
      </c>
      <c r="E59" s="327">
        <f aca="true" t="shared" si="48" ref="E59:P59">E35+E44+E47+E50+E56+E53</f>
        <v>13866</v>
      </c>
      <c r="F59" s="327">
        <f t="shared" si="48"/>
        <v>0</v>
      </c>
      <c r="G59" s="327">
        <f t="shared" si="48"/>
        <v>65037</v>
      </c>
      <c r="H59" s="327">
        <f t="shared" si="48"/>
        <v>35579</v>
      </c>
      <c r="I59" s="327">
        <f t="shared" si="48"/>
        <v>0</v>
      </c>
      <c r="J59" s="327">
        <f t="shared" si="48"/>
        <v>0</v>
      </c>
      <c r="K59" s="327">
        <f t="shared" si="48"/>
        <v>0</v>
      </c>
      <c r="L59" s="327">
        <f t="shared" si="48"/>
        <v>0</v>
      </c>
      <c r="M59" s="327">
        <f t="shared" si="48"/>
        <v>0</v>
      </c>
      <c r="N59" s="327">
        <f t="shared" si="48"/>
        <v>0</v>
      </c>
      <c r="O59" s="327">
        <f t="shared" si="48"/>
        <v>0</v>
      </c>
      <c r="P59" s="327">
        <f t="shared" si="48"/>
        <v>267466</v>
      </c>
      <c r="Q59" s="345">
        <f t="shared" si="2"/>
        <v>114482</v>
      </c>
      <c r="R59" s="349">
        <f t="shared" si="3"/>
        <v>381948</v>
      </c>
    </row>
    <row r="60" spans="1:18" s="324" customFormat="1" ht="12.75" customHeight="1">
      <c r="A60" s="1555"/>
      <c r="B60" s="1563"/>
      <c r="C60" s="341" t="s">
        <v>803</v>
      </c>
      <c r="D60" s="336">
        <f aca="true" t="shared" si="49" ref="D60:P61">D36+D45+D48+D51+D57+D54</f>
        <v>0</v>
      </c>
      <c r="E60" s="327">
        <f t="shared" si="49"/>
        <v>13866</v>
      </c>
      <c r="F60" s="327">
        <f t="shared" si="49"/>
        <v>0</v>
      </c>
      <c r="G60" s="327">
        <f t="shared" si="49"/>
        <v>71463</v>
      </c>
      <c r="H60" s="327">
        <f t="shared" si="49"/>
        <v>35579</v>
      </c>
      <c r="I60" s="327">
        <f t="shared" si="49"/>
        <v>0</v>
      </c>
      <c r="J60" s="327">
        <f t="shared" si="49"/>
        <v>0</v>
      </c>
      <c r="K60" s="327">
        <f t="shared" si="49"/>
        <v>0</v>
      </c>
      <c r="L60" s="327">
        <f t="shared" si="49"/>
        <v>446</v>
      </c>
      <c r="M60" s="327">
        <f t="shared" si="49"/>
        <v>0</v>
      </c>
      <c r="N60" s="327">
        <f t="shared" si="49"/>
        <v>0</v>
      </c>
      <c r="O60" s="327">
        <f t="shared" si="49"/>
        <v>603</v>
      </c>
      <c r="P60" s="327">
        <f t="shared" si="49"/>
        <v>272880</v>
      </c>
      <c r="Q60" s="345">
        <f aca="true" t="shared" si="50" ref="Q60">SUM(D60:O60)</f>
        <v>121957</v>
      </c>
      <c r="R60" s="349">
        <f aca="true" t="shared" si="51" ref="R60">SUM(D60:P60)</f>
        <v>394837</v>
      </c>
    </row>
    <row r="61" spans="1:18" s="324" customFormat="1" ht="14.25">
      <c r="A61" s="1555"/>
      <c r="B61" s="1557"/>
      <c r="C61" s="341" t="s">
        <v>931</v>
      </c>
      <c r="D61" s="336">
        <f t="shared" si="49"/>
        <v>0</v>
      </c>
      <c r="E61" s="327">
        <f t="shared" si="49"/>
        <v>12937</v>
      </c>
      <c r="F61" s="327">
        <f t="shared" si="49"/>
        <v>0</v>
      </c>
      <c r="G61" s="327">
        <f t="shared" si="49"/>
        <v>75798</v>
      </c>
      <c r="H61" s="327">
        <f t="shared" si="49"/>
        <v>40811</v>
      </c>
      <c r="I61" s="327">
        <f t="shared" si="49"/>
        <v>0</v>
      </c>
      <c r="J61" s="327">
        <f t="shared" si="49"/>
        <v>0</v>
      </c>
      <c r="K61" s="327">
        <f t="shared" si="49"/>
        <v>0</v>
      </c>
      <c r="L61" s="327">
        <f t="shared" si="49"/>
        <v>446</v>
      </c>
      <c r="M61" s="327">
        <f t="shared" si="49"/>
        <v>0</v>
      </c>
      <c r="N61" s="327">
        <f t="shared" si="49"/>
        <v>0</v>
      </c>
      <c r="O61" s="327">
        <f t="shared" si="49"/>
        <v>604</v>
      </c>
      <c r="P61" s="327">
        <f t="shared" si="49"/>
        <v>262950</v>
      </c>
      <c r="Q61" s="345">
        <f t="shared" si="2"/>
        <v>130596</v>
      </c>
      <c r="R61" s="349">
        <f t="shared" si="3"/>
        <v>393546</v>
      </c>
    </row>
    <row r="62" spans="1:18" ht="12.75" customHeight="1">
      <c r="A62" s="1566" t="s">
        <v>271</v>
      </c>
      <c r="B62" s="1567" t="s">
        <v>121</v>
      </c>
      <c r="C62" s="340" t="s">
        <v>4</v>
      </c>
      <c r="D62" s="334">
        <v>2000</v>
      </c>
      <c r="E62" s="325">
        <v>17295</v>
      </c>
      <c r="F62" s="325">
        <v>725</v>
      </c>
      <c r="G62" s="325"/>
      <c r="H62" s="325">
        <v>4980</v>
      </c>
      <c r="I62" s="325"/>
      <c r="J62" s="325"/>
      <c r="K62" s="325"/>
      <c r="L62" s="325">
        <v>1250</v>
      </c>
      <c r="M62" s="325"/>
      <c r="N62" s="325"/>
      <c r="O62" s="325">
        <v>3187</v>
      </c>
      <c r="P62" s="325">
        <v>189315</v>
      </c>
      <c r="Q62" s="344">
        <f t="shared" si="2"/>
        <v>29437</v>
      </c>
      <c r="R62" s="348">
        <f t="shared" si="3"/>
        <v>218752</v>
      </c>
    </row>
    <row r="63" spans="1:18" ht="12.75" customHeight="1">
      <c r="A63" s="1566"/>
      <c r="B63" s="1567"/>
      <c r="C63" s="340" t="s">
        <v>892</v>
      </c>
      <c r="D63" s="334">
        <v>2000</v>
      </c>
      <c r="E63" s="325">
        <v>200488</v>
      </c>
      <c r="F63" s="325">
        <v>725</v>
      </c>
      <c r="G63" s="325"/>
      <c r="H63" s="325">
        <v>54442</v>
      </c>
      <c r="I63" s="325"/>
      <c r="J63" s="325">
        <v>18270</v>
      </c>
      <c r="K63" s="325">
        <v>245</v>
      </c>
      <c r="L63" s="325">
        <v>12210</v>
      </c>
      <c r="M63" s="325"/>
      <c r="N63" s="325"/>
      <c r="O63" s="325">
        <v>8325</v>
      </c>
      <c r="P63" s="325">
        <v>204089</v>
      </c>
      <c r="Q63" s="344">
        <f aca="true" t="shared" si="52" ref="Q63">SUM(D63:O63)</f>
        <v>296705</v>
      </c>
      <c r="R63" s="348">
        <f aca="true" t="shared" si="53" ref="R63">SUM(D63:P63)</f>
        <v>500794</v>
      </c>
    </row>
    <row r="64" spans="1:18" ht="15">
      <c r="A64" s="1566"/>
      <c r="B64" s="1567"/>
      <c r="C64" s="340" t="s">
        <v>929</v>
      </c>
      <c r="D64" s="334">
        <v>3765</v>
      </c>
      <c r="E64" s="325">
        <v>198722</v>
      </c>
      <c r="F64" s="325">
        <v>696</v>
      </c>
      <c r="G64" s="325"/>
      <c r="H64" s="325">
        <v>54442</v>
      </c>
      <c r="I64" s="325"/>
      <c r="J64" s="325">
        <v>761</v>
      </c>
      <c r="K64" s="325">
        <v>246</v>
      </c>
      <c r="L64" s="325">
        <v>29748</v>
      </c>
      <c r="M64" s="325"/>
      <c r="N64" s="325"/>
      <c r="O64" s="325">
        <v>8325</v>
      </c>
      <c r="P64" s="325">
        <v>187359</v>
      </c>
      <c r="Q64" s="344">
        <f>SUM(D64:P64)</f>
        <v>484064</v>
      </c>
      <c r="R64" s="348">
        <f t="shared" si="3"/>
        <v>484064</v>
      </c>
    </row>
    <row r="65" spans="1:18" ht="12.75" customHeight="1">
      <c r="A65" s="1566" t="s">
        <v>272</v>
      </c>
      <c r="B65" s="1567" t="s">
        <v>121</v>
      </c>
      <c r="C65" s="340" t="s">
        <v>4</v>
      </c>
      <c r="D65" s="333"/>
      <c r="E65" s="325">
        <v>1230</v>
      </c>
      <c r="F65" s="325"/>
      <c r="G65" s="325"/>
      <c r="H65" s="325">
        <v>332</v>
      </c>
      <c r="I65" s="325"/>
      <c r="J65" s="325"/>
      <c r="K65" s="325"/>
      <c r="L65" s="325"/>
      <c r="M65" s="325"/>
      <c r="N65" s="325"/>
      <c r="O65" s="325"/>
      <c r="P65" s="325">
        <v>46048</v>
      </c>
      <c r="Q65" s="344">
        <f t="shared" si="2"/>
        <v>1562</v>
      </c>
      <c r="R65" s="348">
        <f t="shared" si="3"/>
        <v>47610</v>
      </c>
    </row>
    <row r="66" spans="1:18" ht="12.75" customHeight="1">
      <c r="A66" s="1566"/>
      <c r="B66" s="1567"/>
      <c r="C66" s="340" t="s">
        <v>892</v>
      </c>
      <c r="D66" s="333"/>
      <c r="E66" s="325">
        <v>1370</v>
      </c>
      <c r="F66" s="325"/>
      <c r="G66" s="325"/>
      <c r="H66" s="325">
        <v>332</v>
      </c>
      <c r="I66" s="325"/>
      <c r="J66" s="325"/>
      <c r="K66" s="325"/>
      <c r="L66" s="325">
        <v>484</v>
      </c>
      <c r="M66" s="325"/>
      <c r="N66" s="325"/>
      <c r="O66" s="325">
        <v>1345</v>
      </c>
      <c r="P66" s="325">
        <v>50507</v>
      </c>
      <c r="Q66" s="344">
        <f aca="true" t="shared" si="54" ref="Q66">SUM(D66:O66)</f>
        <v>3531</v>
      </c>
      <c r="R66" s="348">
        <f aca="true" t="shared" si="55" ref="R66">SUM(D66:P66)</f>
        <v>54038</v>
      </c>
    </row>
    <row r="67" spans="1:18" ht="15">
      <c r="A67" s="1566"/>
      <c r="B67" s="1567"/>
      <c r="C67" s="340" t="s">
        <v>929</v>
      </c>
      <c r="D67" s="333"/>
      <c r="E67" s="325">
        <v>1196</v>
      </c>
      <c r="F67" s="325">
        <v>161</v>
      </c>
      <c r="G67" s="325"/>
      <c r="H67" s="325">
        <v>332</v>
      </c>
      <c r="I67" s="325"/>
      <c r="J67" s="325">
        <v>44</v>
      </c>
      <c r="K67" s="325"/>
      <c r="L67" s="325">
        <v>485</v>
      </c>
      <c r="M67" s="325"/>
      <c r="N67" s="325"/>
      <c r="O67" s="325">
        <v>1345</v>
      </c>
      <c r="P67" s="325">
        <v>50714</v>
      </c>
      <c r="Q67" s="344">
        <f t="shared" si="2"/>
        <v>3563</v>
      </c>
      <c r="R67" s="348">
        <f t="shared" si="3"/>
        <v>54277</v>
      </c>
    </row>
    <row r="68" spans="1:18" ht="12.75" customHeight="1">
      <c r="A68" s="1566" t="s">
        <v>273</v>
      </c>
      <c r="B68" s="1567" t="s">
        <v>121</v>
      </c>
      <c r="C68" s="340" t="s">
        <v>4</v>
      </c>
      <c r="D68" s="333"/>
      <c r="E68" s="325"/>
      <c r="F68" s="325">
        <v>1251</v>
      </c>
      <c r="G68" s="325"/>
      <c r="H68" s="325"/>
      <c r="I68" s="325"/>
      <c r="J68" s="325"/>
      <c r="K68" s="325"/>
      <c r="L68" s="325">
        <v>71002</v>
      </c>
      <c r="M68" s="325"/>
      <c r="N68" s="325"/>
      <c r="O68" s="325"/>
      <c r="P68" s="325">
        <v>8834</v>
      </c>
      <c r="Q68" s="344">
        <f t="shared" si="2"/>
        <v>72253</v>
      </c>
      <c r="R68" s="348">
        <f t="shared" si="3"/>
        <v>81087</v>
      </c>
    </row>
    <row r="69" spans="1:18" ht="12.75" customHeight="1">
      <c r="A69" s="1566"/>
      <c r="B69" s="1567"/>
      <c r="C69" s="340" t="s">
        <v>892</v>
      </c>
      <c r="D69" s="333"/>
      <c r="E69" s="325">
        <v>944</v>
      </c>
      <c r="F69" s="325">
        <v>1251</v>
      </c>
      <c r="G69" s="325"/>
      <c r="H69" s="325"/>
      <c r="I69" s="325"/>
      <c r="J69" s="325"/>
      <c r="K69" s="325"/>
      <c r="L69" s="325">
        <v>75463</v>
      </c>
      <c r="M69" s="325"/>
      <c r="N69" s="325"/>
      <c r="O69" s="325">
        <v>589</v>
      </c>
      <c r="P69" s="325">
        <v>9720</v>
      </c>
      <c r="Q69" s="344">
        <f aca="true" t="shared" si="56" ref="Q69">SUM(D69:O69)</f>
        <v>78247</v>
      </c>
      <c r="R69" s="348">
        <f aca="true" t="shared" si="57" ref="R69">SUM(D69:P69)</f>
        <v>87967</v>
      </c>
    </row>
    <row r="70" spans="1:18" ht="15.75" thickBot="1">
      <c r="A70" s="1568"/>
      <c r="B70" s="1569"/>
      <c r="C70" s="372" t="s">
        <v>929</v>
      </c>
      <c r="D70" s="762"/>
      <c r="E70" s="374">
        <v>945</v>
      </c>
      <c r="F70" s="374">
        <v>1277</v>
      </c>
      <c r="G70" s="374"/>
      <c r="H70" s="374"/>
      <c r="I70" s="374"/>
      <c r="J70" s="374"/>
      <c r="K70" s="374"/>
      <c r="L70" s="374">
        <v>75463</v>
      </c>
      <c r="M70" s="374"/>
      <c r="N70" s="374"/>
      <c r="O70" s="374">
        <v>590</v>
      </c>
      <c r="P70" s="374">
        <v>9754</v>
      </c>
      <c r="Q70" s="375">
        <f t="shared" si="2"/>
        <v>78275</v>
      </c>
      <c r="R70" s="376">
        <f t="shared" si="3"/>
        <v>88029</v>
      </c>
    </row>
    <row r="71" spans="1:19" s="324" customFormat="1" ht="12.75" customHeight="1">
      <c r="A71" s="1564" t="s">
        <v>274</v>
      </c>
      <c r="B71" s="1565" t="s">
        <v>284</v>
      </c>
      <c r="C71" s="357" t="s">
        <v>4</v>
      </c>
      <c r="D71" s="358">
        <f>D5+D8+D11+D14+D17+D20+D23+D26+D59+D62+D65+D68</f>
        <v>2000</v>
      </c>
      <c r="E71" s="359">
        <f aca="true" t="shared" si="58" ref="E71:P71">E5+E8+E11+E14+E17+E20+E23+E26+E59+E62+E65+E68</f>
        <v>50716</v>
      </c>
      <c r="F71" s="359">
        <f t="shared" si="58"/>
        <v>1976</v>
      </c>
      <c r="G71" s="359">
        <f t="shared" si="58"/>
        <v>81688</v>
      </c>
      <c r="H71" s="359">
        <f aca="true" t="shared" si="59" ref="H71">H5+H8+H11+H14+H17+H20+H23+H26+H59+H62+H65+H68</f>
        <v>49485</v>
      </c>
      <c r="I71" s="359">
        <f t="shared" si="58"/>
        <v>0</v>
      </c>
      <c r="J71" s="359">
        <f t="shared" si="58"/>
        <v>0</v>
      </c>
      <c r="K71" s="359">
        <f t="shared" si="58"/>
        <v>0</v>
      </c>
      <c r="L71" s="359">
        <f t="shared" si="58"/>
        <v>72252</v>
      </c>
      <c r="M71" s="359">
        <f t="shared" si="58"/>
        <v>0</v>
      </c>
      <c r="N71" s="359">
        <f t="shared" si="58"/>
        <v>0</v>
      </c>
      <c r="O71" s="359">
        <f t="shared" si="58"/>
        <v>3187</v>
      </c>
      <c r="P71" s="359">
        <f t="shared" si="58"/>
        <v>1162747</v>
      </c>
      <c r="Q71" s="360">
        <f t="shared" si="2"/>
        <v>261304</v>
      </c>
      <c r="R71" s="361">
        <f t="shared" si="3"/>
        <v>1424051</v>
      </c>
      <c r="S71" s="763"/>
    </row>
    <row r="72" spans="1:18" s="324" customFormat="1" ht="12.75" customHeight="1">
      <c r="A72" s="1555"/>
      <c r="B72" s="1558"/>
      <c r="C72" s="341" t="s">
        <v>803</v>
      </c>
      <c r="D72" s="336">
        <f aca="true" t="shared" si="60" ref="D72:P73">D6+D9+D12+D15+D18+D21+D24+D27+D60+D63+D66+D69</f>
        <v>2000</v>
      </c>
      <c r="E72" s="327">
        <f t="shared" si="60"/>
        <v>235876</v>
      </c>
      <c r="F72" s="327">
        <f t="shared" si="60"/>
        <v>1976</v>
      </c>
      <c r="G72" s="327">
        <f t="shared" si="60"/>
        <v>91657</v>
      </c>
      <c r="H72" s="327">
        <f aca="true" t="shared" si="61" ref="H72:H73">H6+H9+H12+H15+H18+H21+H24+H27+H60+H63+H66+H69</f>
        <v>98947</v>
      </c>
      <c r="I72" s="327">
        <f t="shared" si="60"/>
        <v>32</v>
      </c>
      <c r="J72" s="327">
        <f t="shared" si="60"/>
        <v>18270</v>
      </c>
      <c r="K72" s="327">
        <f t="shared" si="60"/>
        <v>245</v>
      </c>
      <c r="L72" s="327">
        <f t="shared" si="60"/>
        <v>89934</v>
      </c>
      <c r="M72" s="327">
        <f t="shared" si="60"/>
        <v>0</v>
      </c>
      <c r="N72" s="327">
        <f t="shared" si="60"/>
        <v>0</v>
      </c>
      <c r="O72" s="327">
        <f t="shared" si="60"/>
        <v>15316</v>
      </c>
      <c r="P72" s="327">
        <f t="shared" si="60"/>
        <v>1215138</v>
      </c>
      <c r="Q72" s="345">
        <f aca="true" t="shared" si="62" ref="Q72">SUM(D72:O72)</f>
        <v>554253</v>
      </c>
      <c r="R72" s="349">
        <f t="shared" si="3"/>
        <v>1769391</v>
      </c>
    </row>
    <row r="73" spans="1:18" s="324" customFormat="1" ht="15" thickBot="1">
      <c r="A73" s="1556"/>
      <c r="B73" s="1559"/>
      <c r="C73" s="342" t="s">
        <v>994</v>
      </c>
      <c r="D73" s="362">
        <f t="shared" si="60"/>
        <v>3765</v>
      </c>
      <c r="E73" s="363">
        <f t="shared" si="60"/>
        <v>231872</v>
      </c>
      <c r="F73" s="363">
        <f t="shared" si="60"/>
        <v>3095</v>
      </c>
      <c r="G73" s="363">
        <f t="shared" si="60"/>
        <v>97002</v>
      </c>
      <c r="H73" s="363">
        <f t="shared" si="61"/>
        <v>103922</v>
      </c>
      <c r="I73" s="363">
        <f t="shared" si="60"/>
        <v>59</v>
      </c>
      <c r="J73" s="363">
        <f t="shared" si="60"/>
        <v>805</v>
      </c>
      <c r="K73" s="363">
        <f t="shared" si="60"/>
        <v>246</v>
      </c>
      <c r="L73" s="363">
        <f t="shared" si="60"/>
        <v>107657</v>
      </c>
      <c r="M73" s="363">
        <f t="shared" si="60"/>
        <v>0</v>
      </c>
      <c r="N73" s="363">
        <f t="shared" si="60"/>
        <v>0</v>
      </c>
      <c r="O73" s="363">
        <f t="shared" si="60"/>
        <v>15322</v>
      </c>
      <c r="P73" s="363">
        <f t="shared" si="60"/>
        <v>1187146</v>
      </c>
      <c r="Q73" s="364">
        <f aca="true" t="shared" si="63" ref="Q73:Q79">SUM(D73:O73)</f>
        <v>563745</v>
      </c>
      <c r="R73" s="365">
        <f aca="true" t="shared" si="64" ref="R73:R79">SUM(D73:P73)</f>
        <v>1750891</v>
      </c>
    </row>
    <row r="74" spans="1:18" s="324" customFormat="1" ht="12.75" customHeight="1">
      <c r="A74" s="1564" t="s">
        <v>275</v>
      </c>
      <c r="B74" s="1565" t="s">
        <v>285</v>
      </c>
      <c r="C74" s="357" t="s">
        <v>4</v>
      </c>
      <c r="D74" s="366">
        <f>D5+D8+D11+D14+D17+D20+D23+D26+D35+D62+D65+D68+D44+D47+D50+D53</f>
        <v>2000</v>
      </c>
      <c r="E74" s="367">
        <f aca="true" t="shared" si="65" ref="E74:P74">E5+E8+E11+E14+E17+E20+E23+E26+E35+E62+E65+E68+E44+E47+E50+E53</f>
        <v>50350</v>
      </c>
      <c r="F74" s="367">
        <f t="shared" si="65"/>
        <v>1976</v>
      </c>
      <c r="G74" s="367">
        <f t="shared" si="65"/>
        <v>81688</v>
      </c>
      <c r="H74" s="367">
        <f t="shared" si="65"/>
        <v>30900</v>
      </c>
      <c r="I74" s="367">
        <f t="shared" si="65"/>
        <v>0</v>
      </c>
      <c r="J74" s="367">
        <f t="shared" si="65"/>
        <v>0</v>
      </c>
      <c r="K74" s="367">
        <f t="shared" si="65"/>
        <v>0</v>
      </c>
      <c r="L74" s="367">
        <f t="shared" si="65"/>
        <v>72252</v>
      </c>
      <c r="M74" s="367">
        <f t="shared" si="65"/>
        <v>0</v>
      </c>
      <c r="N74" s="367">
        <f t="shared" si="65"/>
        <v>0</v>
      </c>
      <c r="O74" s="367">
        <f t="shared" si="65"/>
        <v>3187</v>
      </c>
      <c r="P74" s="359">
        <f t="shared" si="65"/>
        <v>1098438</v>
      </c>
      <c r="Q74" s="360">
        <f t="shared" si="63"/>
        <v>242353</v>
      </c>
      <c r="R74" s="361">
        <f t="shared" si="64"/>
        <v>1340791</v>
      </c>
    </row>
    <row r="75" spans="1:18" s="324" customFormat="1" ht="12.75" customHeight="1">
      <c r="A75" s="1555"/>
      <c r="B75" s="1558"/>
      <c r="C75" s="341" t="s">
        <v>803</v>
      </c>
      <c r="D75" s="337">
        <f aca="true" t="shared" si="66" ref="D75:P76">D6+D9+D12+D15+D18+D21+D24+D27+D36+D63+D66+D69+D45+D48+D51+D54</f>
        <v>2000</v>
      </c>
      <c r="E75" s="328">
        <f t="shared" si="66"/>
        <v>235510</v>
      </c>
      <c r="F75" s="328">
        <f t="shared" si="66"/>
        <v>1976</v>
      </c>
      <c r="G75" s="328">
        <f t="shared" si="66"/>
        <v>91657</v>
      </c>
      <c r="H75" s="328">
        <f t="shared" si="66"/>
        <v>80362</v>
      </c>
      <c r="I75" s="328">
        <f t="shared" si="66"/>
        <v>32</v>
      </c>
      <c r="J75" s="328">
        <f t="shared" si="66"/>
        <v>18270</v>
      </c>
      <c r="K75" s="328">
        <f t="shared" si="66"/>
        <v>245</v>
      </c>
      <c r="L75" s="328">
        <f t="shared" si="66"/>
        <v>89488</v>
      </c>
      <c r="M75" s="328">
        <f t="shared" si="66"/>
        <v>0</v>
      </c>
      <c r="N75" s="328">
        <f t="shared" si="66"/>
        <v>0</v>
      </c>
      <c r="O75" s="328">
        <f t="shared" si="66"/>
        <v>14713</v>
      </c>
      <c r="P75" s="327">
        <f t="shared" si="66"/>
        <v>1160102</v>
      </c>
      <c r="Q75" s="345">
        <f aca="true" t="shared" si="67" ref="Q75">SUM(D75:O75)</f>
        <v>534253</v>
      </c>
      <c r="R75" s="349">
        <f aca="true" t="shared" si="68" ref="R75">SUM(D75:P75)</f>
        <v>1694355</v>
      </c>
    </row>
    <row r="76" spans="1:18" s="324" customFormat="1" ht="15" thickBot="1">
      <c r="A76" s="1556"/>
      <c r="B76" s="1559"/>
      <c r="C76" s="342" t="s">
        <v>931</v>
      </c>
      <c r="D76" s="338">
        <f t="shared" si="66"/>
        <v>3765</v>
      </c>
      <c r="E76" s="329">
        <f t="shared" si="66"/>
        <v>231507</v>
      </c>
      <c r="F76" s="329">
        <f t="shared" si="66"/>
        <v>3095</v>
      </c>
      <c r="G76" s="329">
        <f t="shared" si="66"/>
        <v>97002</v>
      </c>
      <c r="H76" s="329">
        <f t="shared" si="66"/>
        <v>83261</v>
      </c>
      <c r="I76" s="329">
        <f t="shared" si="66"/>
        <v>59</v>
      </c>
      <c r="J76" s="329">
        <f t="shared" si="66"/>
        <v>805</v>
      </c>
      <c r="K76" s="329">
        <f t="shared" si="66"/>
        <v>246</v>
      </c>
      <c r="L76" s="329">
        <f t="shared" si="66"/>
        <v>107211</v>
      </c>
      <c r="M76" s="329">
        <f t="shared" si="66"/>
        <v>0</v>
      </c>
      <c r="N76" s="329">
        <f t="shared" si="66"/>
        <v>0</v>
      </c>
      <c r="O76" s="329">
        <f t="shared" si="66"/>
        <v>14718</v>
      </c>
      <c r="P76" s="363">
        <f t="shared" si="66"/>
        <v>1142483</v>
      </c>
      <c r="Q76" s="364">
        <f t="shared" si="63"/>
        <v>541669</v>
      </c>
      <c r="R76" s="365">
        <f t="shared" si="64"/>
        <v>1684152</v>
      </c>
    </row>
    <row r="77" spans="1:18" s="324" customFormat="1" ht="12.75" customHeight="1">
      <c r="A77" s="1554" t="s">
        <v>276</v>
      </c>
      <c r="B77" s="1557" t="s">
        <v>269</v>
      </c>
      <c r="C77" s="351" t="s">
        <v>4</v>
      </c>
      <c r="D77" s="352">
        <f>D56</f>
        <v>0</v>
      </c>
      <c r="E77" s="353">
        <f aca="true" t="shared" si="69" ref="E77:P77">E56</f>
        <v>366</v>
      </c>
      <c r="F77" s="353">
        <f t="shared" si="69"/>
        <v>0</v>
      </c>
      <c r="G77" s="353">
        <f t="shared" si="69"/>
        <v>0</v>
      </c>
      <c r="H77" s="353">
        <f aca="true" t="shared" si="70" ref="H77">H56</f>
        <v>18585</v>
      </c>
      <c r="I77" s="353">
        <f t="shared" si="69"/>
        <v>0</v>
      </c>
      <c r="J77" s="353">
        <f t="shared" si="69"/>
        <v>0</v>
      </c>
      <c r="K77" s="353">
        <f t="shared" si="69"/>
        <v>0</v>
      </c>
      <c r="L77" s="353">
        <f t="shared" si="69"/>
        <v>0</v>
      </c>
      <c r="M77" s="353">
        <f t="shared" si="69"/>
        <v>0</v>
      </c>
      <c r="N77" s="353">
        <f t="shared" si="69"/>
        <v>0</v>
      </c>
      <c r="O77" s="353">
        <f t="shared" si="69"/>
        <v>0</v>
      </c>
      <c r="P77" s="354">
        <f t="shared" si="69"/>
        <v>64309</v>
      </c>
      <c r="Q77" s="355">
        <f t="shared" si="63"/>
        <v>18951</v>
      </c>
      <c r="R77" s="356">
        <f t="shared" si="64"/>
        <v>83260</v>
      </c>
    </row>
    <row r="78" spans="1:18" s="324" customFormat="1" ht="12.75" customHeight="1">
      <c r="A78" s="1555"/>
      <c r="B78" s="1558"/>
      <c r="C78" s="341" t="s">
        <v>803</v>
      </c>
      <c r="D78" s="337">
        <f aca="true" t="shared" si="71" ref="D78:P79">D57</f>
        <v>0</v>
      </c>
      <c r="E78" s="328">
        <f t="shared" si="71"/>
        <v>366</v>
      </c>
      <c r="F78" s="328">
        <f t="shared" si="71"/>
        <v>0</v>
      </c>
      <c r="G78" s="328">
        <f t="shared" si="71"/>
        <v>0</v>
      </c>
      <c r="H78" s="328">
        <f aca="true" t="shared" si="72" ref="H78:H79">H57</f>
        <v>18585</v>
      </c>
      <c r="I78" s="328">
        <f t="shared" si="71"/>
        <v>0</v>
      </c>
      <c r="J78" s="328">
        <f t="shared" si="71"/>
        <v>0</v>
      </c>
      <c r="K78" s="328">
        <f t="shared" si="71"/>
        <v>0</v>
      </c>
      <c r="L78" s="328">
        <f t="shared" si="71"/>
        <v>446</v>
      </c>
      <c r="M78" s="328">
        <f t="shared" si="71"/>
        <v>0</v>
      </c>
      <c r="N78" s="328">
        <f t="shared" si="71"/>
        <v>0</v>
      </c>
      <c r="O78" s="328">
        <f t="shared" si="71"/>
        <v>603</v>
      </c>
      <c r="P78" s="327">
        <f t="shared" si="71"/>
        <v>55036</v>
      </c>
      <c r="Q78" s="345">
        <f aca="true" t="shared" si="73" ref="Q78">SUM(D78:O78)</f>
        <v>20000</v>
      </c>
      <c r="R78" s="349">
        <f aca="true" t="shared" si="74" ref="R78">SUM(D78:P78)</f>
        <v>75036</v>
      </c>
    </row>
    <row r="79" spans="1:18" s="324" customFormat="1" ht="15" thickBot="1">
      <c r="A79" s="1556"/>
      <c r="B79" s="1559"/>
      <c r="C79" s="342" t="s">
        <v>993</v>
      </c>
      <c r="D79" s="338">
        <f t="shared" si="71"/>
        <v>0</v>
      </c>
      <c r="E79" s="329">
        <f t="shared" si="71"/>
        <v>365</v>
      </c>
      <c r="F79" s="329">
        <f t="shared" si="71"/>
        <v>0</v>
      </c>
      <c r="G79" s="329">
        <f t="shared" si="71"/>
        <v>0</v>
      </c>
      <c r="H79" s="329">
        <f t="shared" si="72"/>
        <v>20661</v>
      </c>
      <c r="I79" s="329">
        <f t="shared" si="71"/>
        <v>0</v>
      </c>
      <c r="J79" s="329">
        <f t="shared" si="71"/>
        <v>0</v>
      </c>
      <c r="K79" s="329">
        <f t="shared" si="71"/>
        <v>0</v>
      </c>
      <c r="L79" s="329">
        <f t="shared" si="71"/>
        <v>446</v>
      </c>
      <c r="M79" s="329">
        <f t="shared" si="71"/>
        <v>0</v>
      </c>
      <c r="N79" s="329">
        <f t="shared" si="71"/>
        <v>0</v>
      </c>
      <c r="O79" s="329">
        <f t="shared" si="71"/>
        <v>604</v>
      </c>
      <c r="P79" s="329">
        <f t="shared" si="71"/>
        <v>44663</v>
      </c>
      <c r="Q79" s="346">
        <f t="shared" si="63"/>
        <v>22076</v>
      </c>
      <c r="R79" s="350">
        <f t="shared" si="64"/>
        <v>66739</v>
      </c>
    </row>
    <row r="81" spans="1:3" ht="15">
      <c r="A81" s="1423" t="s">
        <v>995</v>
      </c>
      <c r="B81" s="305"/>
      <c r="C81" s="305"/>
    </row>
    <row r="82" spans="1:3" ht="15">
      <c r="A82" s="1423" t="s">
        <v>996</v>
      </c>
      <c r="B82" s="305"/>
      <c r="C82" s="305"/>
    </row>
    <row r="83" spans="1:3" ht="15">
      <c r="A83" s="1423" t="s">
        <v>997</v>
      </c>
      <c r="B83" s="305"/>
      <c r="C83" s="305"/>
    </row>
    <row r="84" spans="1:3" ht="15">
      <c r="A84" s="1423" t="s">
        <v>998</v>
      </c>
      <c r="B84" s="305"/>
      <c r="C84" s="305"/>
    </row>
    <row r="85" spans="1:3" ht="15">
      <c r="A85" s="1423" t="s">
        <v>999</v>
      </c>
      <c r="B85" s="305"/>
      <c r="C85" s="305"/>
    </row>
  </sheetData>
  <mergeCells count="67">
    <mergeCell ref="O3:O4"/>
    <mergeCell ref="P3:P4"/>
    <mergeCell ref="Q3:Q4"/>
    <mergeCell ref="R3:R4"/>
    <mergeCell ref="A1:R1"/>
    <mergeCell ref="A3:A4"/>
    <mergeCell ref="B3:B4"/>
    <mergeCell ref="D3:D4"/>
    <mergeCell ref="E3:E4"/>
    <mergeCell ref="F3:F4"/>
    <mergeCell ref="G3:G4"/>
    <mergeCell ref="I3:I4"/>
    <mergeCell ref="J3:K3"/>
    <mergeCell ref="L3:M3"/>
    <mergeCell ref="A5:A7"/>
    <mergeCell ref="B5:B7"/>
    <mergeCell ref="A8:A10"/>
    <mergeCell ref="B8:B10"/>
    <mergeCell ref="N3:N4"/>
    <mergeCell ref="H3:H4"/>
    <mergeCell ref="A17:A19"/>
    <mergeCell ref="B17:B19"/>
    <mergeCell ref="A20:A22"/>
    <mergeCell ref="B20:B22"/>
    <mergeCell ref="A11:A13"/>
    <mergeCell ref="B11:B13"/>
    <mergeCell ref="A14:A16"/>
    <mergeCell ref="B14:B16"/>
    <mergeCell ref="A29:A31"/>
    <mergeCell ref="B29:B31"/>
    <mergeCell ref="A32:A34"/>
    <mergeCell ref="B32:B34"/>
    <mergeCell ref="A23:A25"/>
    <mergeCell ref="B23:B25"/>
    <mergeCell ref="A26:A28"/>
    <mergeCell ref="B26:B28"/>
    <mergeCell ref="A41:A43"/>
    <mergeCell ref="B41:B43"/>
    <mergeCell ref="A44:A46"/>
    <mergeCell ref="B44:B46"/>
    <mergeCell ref="A35:A37"/>
    <mergeCell ref="B35:B37"/>
    <mergeCell ref="A38:A40"/>
    <mergeCell ref="B38:B40"/>
    <mergeCell ref="B62:B64"/>
    <mergeCell ref="A47:A49"/>
    <mergeCell ref="B47:B49"/>
    <mergeCell ref="A50:A52"/>
    <mergeCell ref="B50:B52"/>
    <mergeCell ref="A53:A55"/>
    <mergeCell ref="B53:B55"/>
    <mergeCell ref="A77:A79"/>
    <mergeCell ref="B77:B79"/>
    <mergeCell ref="C3:C4"/>
    <mergeCell ref="B59:B61"/>
    <mergeCell ref="A71:A73"/>
    <mergeCell ref="B71:B73"/>
    <mergeCell ref="A74:A76"/>
    <mergeCell ref="B74:B76"/>
    <mergeCell ref="A65:A67"/>
    <mergeCell ref="B65:B67"/>
    <mergeCell ref="A68:A70"/>
    <mergeCell ref="B68:B70"/>
    <mergeCell ref="A56:A58"/>
    <mergeCell ref="B56:B58"/>
    <mergeCell ref="A59:A61"/>
    <mergeCell ref="A62:A6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  <headerFooter>
    <oddHeader>&amp;L&amp;"Times New Roman,Normál"&amp;10 6. melléklet 1,2,3,4</oddHeader>
    <oddFooter>&amp;L
27/2017 (XII.21.) önk.rend. Hat: 2018.01.01. napjától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view="pageLayout" workbookViewId="0" topLeftCell="A61">
      <selection activeCell="A80" sqref="A80:C84"/>
    </sheetView>
  </sheetViews>
  <sheetFormatPr defaultColWidth="9.140625" defaultRowHeight="15"/>
  <cols>
    <col min="1" max="1" width="25.57421875" style="305" customWidth="1"/>
    <col min="2" max="2" width="9.7109375" style="305" bestFit="1" customWidth="1"/>
    <col min="3" max="3" width="14.28125" style="305" customWidth="1"/>
    <col min="4" max="4" width="9.28125" style="305" bestFit="1" customWidth="1"/>
    <col min="5" max="5" width="11.28125" style="305" bestFit="1" customWidth="1"/>
    <col min="6" max="6" width="8.421875" style="305" bestFit="1" customWidth="1"/>
    <col min="7" max="7" width="10.7109375" style="305" bestFit="1" customWidth="1"/>
    <col min="8" max="8" width="9.00390625" style="305" bestFit="1" customWidth="1"/>
    <col min="9" max="9" width="10.140625" style="305" bestFit="1" customWidth="1"/>
    <col min="10" max="16384" width="9.140625" style="305" customWidth="1"/>
  </cols>
  <sheetData>
    <row r="1" spans="1:9" s="368" customFormat="1" ht="15">
      <c r="A1" s="1576" t="s">
        <v>247</v>
      </c>
      <c r="B1" s="1576"/>
      <c r="C1" s="1576"/>
      <c r="D1" s="1576"/>
      <c r="E1" s="1576"/>
      <c r="F1" s="1576"/>
      <c r="G1" s="1576"/>
      <c r="H1" s="1576"/>
      <c r="I1" s="1576"/>
    </row>
    <row r="2" spans="1:9" ht="15.75" thickBot="1">
      <c r="A2" s="322"/>
      <c r="B2" s="322"/>
      <c r="C2" s="322"/>
      <c r="D2" s="322"/>
      <c r="E2" s="322"/>
      <c r="F2" s="322"/>
      <c r="G2" s="322"/>
      <c r="H2" s="322"/>
      <c r="I2" s="322"/>
    </row>
    <row r="3" spans="1:9" ht="28.5" customHeight="1">
      <c r="A3" s="1564" t="s">
        <v>248</v>
      </c>
      <c r="B3" s="1565" t="s">
        <v>249</v>
      </c>
      <c r="C3" s="1560"/>
      <c r="D3" s="1579" t="s">
        <v>112</v>
      </c>
      <c r="E3" s="1580"/>
      <c r="F3" s="1580" t="s">
        <v>113</v>
      </c>
      <c r="G3" s="1580"/>
      <c r="H3" s="1581"/>
      <c r="I3" s="1574" t="s">
        <v>251</v>
      </c>
    </row>
    <row r="4" spans="1:9" ht="29.25" thickBot="1">
      <c r="A4" s="1556"/>
      <c r="B4" s="1559"/>
      <c r="C4" s="1561"/>
      <c r="D4" s="369" t="s">
        <v>286</v>
      </c>
      <c r="E4" s="331" t="s">
        <v>287</v>
      </c>
      <c r="F4" s="331" t="s">
        <v>114</v>
      </c>
      <c r="G4" s="331" t="s">
        <v>64</v>
      </c>
      <c r="H4" s="371" t="s">
        <v>65</v>
      </c>
      <c r="I4" s="1575"/>
    </row>
    <row r="5" spans="1:9" ht="12.75" customHeight="1">
      <c r="A5" s="1570" t="s">
        <v>252</v>
      </c>
      <c r="B5" s="1571" t="s">
        <v>121</v>
      </c>
      <c r="C5" s="339" t="s">
        <v>4</v>
      </c>
      <c r="D5" s="370">
        <v>72595</v>
      </c>
      <c r="E5" s="330">
        <v>14002</v>
      </c>
      <c r="F5" s="330">
        <v>14897</v>
      </c>
      <c r="G5" s="330">
        <v>494</v>
      </c>
      <c r="H5" s="343">
        <v>250</v>
      </c>
      <c r="I5" s="347">
        <f>SUM(D5:H5)</f>
        <v>102238</v>
      </c>
    </row>
    <row r="6" spans="1:9" ht="12.75" customHeight="1">
      <c r="A6" s="1566"/>
      <c r="B6" s="1567"/>
      <c r="C6" s="340" t="s">
        <v>892</v>
      </c>
      <c r="D6" s="334">
        <v>73631</v>
      </c>
      <c r="E6" s="325">
        <v>14324</v>
      </c>
      <c r="F6" s="325">
        <v>15668</v>
      </c>
      <c r="G6" s="325">
        <v>554</v>
      </c>
      <c r="H6" s="344">
        <v>0</v>
      </c>
      <c r="I6" s="348">
        <f aca="true" t="shared" si="0" ref="I6">SUM(D6:H6)</f>
        <v>104177</v>
      </c>
    </row>
    <row r="7" spans="1:9" ht="15">
      <c r="A7" s="1566"/>
      <c r="B7" s="1567"/>
      <c r="C7" s="340" t="s">
        <v>929</v>
      </c>
      <c r="D7" s="334">
        <v>73645</v>
      </c>
      <c r="E7" s="325">
        <v>14327</v>
      </c>
      <c r="F7" s="325">
        <v>15668</v>
      </c>
      <c r="G7" s="325">
        <v>554</v>
      </c>
      <c r="H7" s="344">
        <v>0</v>
      </c>
      <c r="I7" s="348">
        <f aca="true" t="shared" si="1" ref="I7:I71">SUM(D7:H7)</f>
        <v>104194</v>
      </c>
    </row>
    <row r="8" spans="1:9" ht="12.75" customHeight="1">
      <c r="A8" s="1566" t="s">
        <v>253</v>
      </c>
      <c r="B8" s="1567" t="s">
        <v>121</v>
      </c>
      <c r="C8" s="340" t="s">
        <v>4</v>
      </c>
      <c r="D8" s="334">
        <v>23892</v>
      </c>
      <c r="E8" s="325">
        <v>4632</v>
      </c>
      <c r="F8" s="325">
        <v>7810</v>
      </c>
      <c r="G8" s="325">
        <v>170</v>
      </c>
      <c r="H8" s="344"/>
      <c r="I8" s="348">
        <f t="shared" si="1"/>
        <v>36504</v>
      </c>
    </row>
    <row r="9" spans="1:9" ht="12.75" customHeight="1">
      <c r="A9" s="1566"/>
      <c r="B9" s="1567"/>
      <c r="C9" s="340" t="s">
        <v>892</v>
      </c>
      <c r="D9" s="334">
        <v>23892</v>
      </c>
      <c r="E9" s="325">
        <v>4632</v>
      </c>
      <c r="F9" s="325">
        <v>7816</v>
      </c>
      <c r="G9" s="325">
        <v>170</v>
      </c>
      <c r="H9" s="344">
        <v>0</v>
      </c>
      <c r="I9" s="348">
        <f aca="true" t="shared" si="2" ref="I9">SUM(D9:H9)</f>
        <v>36510</v>
      </c>
    </row>
    <row r="10" spans="1:9" ht="15">
      <c r="A10" s="1566"/>
      <c r="B10" s="1567"/>
      <c r="C10" s="340" t="s">
        <v>929</v>
      </c>
      <c r="D10" s="334">
        <v>24855</v>
      </c>
      <c r="E10" s="325">
        <v>4902</v>
      </c>
      <c r="F10" s="325">
        <v>7546</v>
      </c>
      <c r="G10" s="325">
        <v>170</v>
      </c>
      <c r="H10" s="344">
        <v>0</v>
      </c>
      <c r="I10" s="348">
        <f t="shared" si="1"/>
        <v>37473</v>
      </c>
    </row>
    <row r="11" spans="1:9" ht="12.75" customHeight="1">
      <c r="A11" s="1566" t="s">
        <v>254</v>
      </c>
      <c r="B11" s="1567" t="s">
        <v>121</v>
      </c>
      <c r="C11" s="340" t="s">
        <v>4</v>
      </c>
      <c r="D11" s="334">
        <v>61050</v>
      </c>
      <c r="E11" s="325">
        <v>11823</v>
      </c>
      <c r="F11" s="325">
        <v>12957</v>
      </c>
      <c r="G11" s="325">
        <v>110</v>
      </c>
      <c r="H11" s="344">
        <v>1100</v>
      </c>
      <c r="I11" s="348">
        <f t="shared" si="1"/>
        <v>87040</v>
      </c>
    </row>
    <row r="12" spans="1:9" ht="12.75" customHeight="1">
      <c r="A12" s="1566"/>
      <c r="B12" s="1567"/>
      <c r="C12" s="340" t="s">
        <v>892</v>
      </c>
      <c r="D12" s="334">
        <v>62857</v>
      </c>
      <c r="E12" s="325">
        <v>12306</v>
      </c>
      <c r="F12" s="325">
        <v>13574</v>
      </c>
      <c r="G12" s="325">
        <v>1075</v>
      </c>
      <c r="H12" s="344">
        <v>175</v>
      </c>
      <c r="I12" s="348">
        <f aca="true" t="shared" si="3" ref="I12">SUM(D12:H12)</f>
        <v>89987</v>
      </c>
    </row>
    <row r="13" spans="1:9" ht="15">
      <c r="A13" s="1566"/>
      <c r="B13" s="1567"/>
      <c r="C13" s="340" t="s">
        <v>918</v>
      </c>
      <c r="D13" s="334">
        <v>65803</v>
      </c>
      <c r="E13" s="325">
        <v>13152</v>
      </c>
      <c r="F13" s="325">
        <v>12993</v>
      </c>
      <c r="G13" s="325">
        <v>595</v>
      </c>
      <c r="H13" s="344">
        <v>175</v>
      </c>
      <c r="I13" s="348">
        <f t="shared" si="1"/>
        <v>92718</v>
      </c>
    </row>
    <row r="14" spans="1:9" ht="12.75" customHeight="1">
      <c r="A14" s="1566" t="s">
        <v>255</v>
      </c>
      <c r="B14" s="1567" t="s">
        <v>121</v>
      </c>
      <c r="C14" s="340" t="s">
        <v>4</v>
      </c>
      <c r="D14" s="334">
        <v>74419</v>
      </c>
      <c r="E14" s="325">
        <v>14163</v>
      </c>
      <c r="F14" s="325">
        <v>23083</v>
      </c>
      <c r="G14" s="325">
        <v>300</v>
      </c>
      <c r="H14" s="344">
        <v>677</v>
      </c>
      <c r="I14" s="348">
        <f t="shared" si="1"/>
        <v>112642</v>
      </c>
    </row>
    <row r="15" spans="1:9" ht="12.75" customHeight="1">
      <c r="A15" s="1566"/>
      <c r="B15" s="1567"/>
      <c r="C15" s="340" t="s">
        <v>892</v>
      </c>
      <c r="D15" s="334">
        <v>75420</v>
      </c>
      <c r="E15" s="325">
        <v>14484</v>
      </c>
      <c r="F15" s="325">
        <v>24488</v>
      </c>
      <c r="G15" s="325">
        <v>300</v>
      </c>
      <c r="H15" s="344">
        <v>109</v>
      </c>
      <c r="I15" s="348">
        <f aca="true" t="shared" si="4" ref="I15">SUM(D15:H15)</f>
        <v>114801</v>
      </c>
    </row>
    <row r="16" spans="1:9" ht="15">
      <c r="A16" s="1566"/>
      <c r="B16" s="1567"/>
      <c r="C16" s="340" t="s">
        <v>929</v>
      </c>
      <c r="D16" s="334">
        <v>75990</v>
      </c>
      <c r="E16" s="325">
        <v>14842</v>
      </c>
      <c r="F16" s="325">
        <v>23561</v>
      </c>
      <c r="G16" s="325">
        <v>300</v>
      </c>
      <c r="H16" s="344">
        <v>109</v>
      </c>
      <c r="I16" s="348">
        <f t="shared" si="1"/>
        <v>114802</v>
      </c>
    </row>
    <row r="17" spans="1:9" ht="12.75" customHeight="1">
      <c r="A17" s="1566" t="s">
        <v>256</v>
      </c>
      <c r="B17" s="1567" t="s">
        <v>121</v>
      </c>
      <c r="C17" s="340" t="s">
        <v>4</v>
      </c>
      <c r="D17" s="334">
        <v>42404</v>
      </c>
      <c r="E17" s="325">
        <v>8214</v>
      </c>
      <c r="F17" s="325">
        <v>12077</v>
      </c>
      <c r="G17" s="325">
        <v>992</v>
      </c>
      <c r="H17" s="344">
        <v>1800</v>
      </c>
      <c r="I17" s="348">
        <f t="shared" si="1"/>
        <v>65487</v>
      </c>
    </row>
    <row r="18" spans="1:9" ht="12.75" customHeight="1">
      <c r="A18" s="1566"/>
      <c r="B18" s="1567"/>
      <c r="C18" s="340" t="s">
        <v>892</v>
      </c>
      <c r="D18" s="334">
        <v>43103</v>
      </c>
      <c r="E18" s="325">
        <v>8459</v>
      </c>
      <c r="F18" s="325">
        <v>12716</v>
      </c>
      <c r="G18" s="325">
        <v>1492</v>
      </c>
      <c r="H18" s="344">
        <v>1300</v>
      </c>
      <c r="I18" s="348">
        <f aca="true" t="shared" si="5" ref="I18">SUM(D18:H18)</f>
        <v>67070</v>
      </c>
    </row>
    <row r="19" spans="1:9" ht="15">
      <c r="A19" s="1566"/>
      <c r="B19" s="1567"/>
      <c r="C19" s="340" t="s">
        <v>929</v>
      </c>
      <c r="D19" s="334">
        <v>43125</v>
      </c>
      <c r="E19" s="325">
        <v>8558</v>
      </c>
      <c r="F19" s="325">
        <v>12716</v>
      </c>
      <c r="G19" s="325">
        <v>1492</v>
      </c>
      <c r="H19" s="344">
        <v>1300</v>
      </c>
      <c r="I19" s="348">
        <f t="shared" si="1"/>
        <v>67191</v>
      </c>
    </row>
    <row r="20" spans="1:9" ht="12.75" customHeight="1">
      <c r="A20" s="1566" t="s">
        <v>257</v>
      </c>
      <c r="B20" s="1567" t="s">
        <v>121</v>
      </c>
      <c r="C20" s="340" t="s">
        <v>4</v>
      </c>
      <c r="D20" s="334">
        <v>66761</v>
      </c>
      <c r="E20" s="325">
        <v>12957</v>
      </c>
      <c r="F20" s="325">
        <v>13304</v>
      </c>
      <c r="G20" s="325">
        <v>150</v>
      </c>
      <c r="H20" s="344">
        <v>6844</v>
      </c>
      <c r="I20" s="348">
        <f t="shared" si="1"/>
        <v>100016</v>
      </c>
    </row>
    <row r="21" spans="1:9" ht="12.75" customHeight="1">
      <c r="A21" s="1566"/>
      <c r="B21" s="1567"/>
      <c r="C21" s="340" t="s">
        <v>892</v>
      </c>
      <c r="D21" s="334">
        <v>68960</v>
      </c>
      <c r="E21" s="325">
        <v>13465</v>
      </c>
      <c r="F21" s="325">
        <v>14106</v>
      </c>
      <c r="G21" s="325">
        <v>300</v>
      </c>
      <c r="H21" s="344">
        <v>6844</v>
      </c>
      <c r="I21" s="348">
        <f aca="true" t="shared" si="6" ref="I21">SUM(D21:H21)</f>
        <v>103675</v>
      </c>
    </row>
    <row r="22" spans="1:9" ht="15">
      <c r="A22" s="1566"/>
      <c r="B22" s="1567"/>
      <c r="C22" s="340" t="s">
        <v>929</v>
      </c>
      <c r="D22" s="334">
        <v>68004</v>
      </c>
      <c r="E22" s="325">
        <v>13466</v>
      </c>
      <c r="F22" s="325">
        <v>14106</v>
      </c>
      <c r="G22" s="325">
        <v>300</v>
      </c>
      <c r="H22" s="344">
        <v>6844</v>
      </c>
      <c r="I22" s="348">
        <f t="shared" si="1"/>
        <v>102720</v>
      </c>
    </row>
    <row r="23" spans="1:9" ht="12.75" customHeight="1">
      <c r="A23" s="1566" t="s">
        <v>258</v>
      </c>
      <c r="B23" s="1567" t="s">
        <v>121</v>
      </c>
      <c r="C23" s="340" t="s">
        <v>4</v>
      </c>
      <c r="D23" s="334">
        <v>12017</v>
      </c>
      <c r="E23" s="325">
        <v>2343</v>
      </c>
      <c r="F23" s="325">
        <v>5570</v>
      </c>
      <c r="G23" s="325">
        <v>230</v>
      </c>
      <c r="H23" s="344">
        <v>400</v>
      </c>
      <c r="I23" s="348">
        <f t="shared" si="1"/>
        <v>20560</v>
      </c>
    </row>
    <row r="24" spans="1:9" ht="12.75" customHeight="1">
      <c r="A24" s="1566"/>
      <c r="B24" s="1567"/>
      <c r="C24" s="340" t="s">
        <v>892</v>
      </c>
      <c r="D24" s="334">
        <v>12017</v>
      </c>
      <c r="E24" s="325">
        <v>2343</v>
      </c>
      <c r="F24" s="325">
        <v>5754</v>
      </c>
      <c r="G24" s="325">
        <v>230</v>
      </c>
      <c r="H24" s="344">
        <v>400</v>
      </c>
      <c r="I24" s="348">
        <f aca="true" t="shared" si="7" ref="I24">SUM(D24:H24)</f>
        <v>20744</v>
      </c>
    </row>
    <row r="25" spans="1:9" ht="15">
      <c r="A25" s="1566"/>
      <c r="B25" s="1567"/>
      <c r="C25" s="340" t="s">
        <v>929</v>
      </c>
      <c r="D25" s="334">
        <v>10473</v>
      </c>
      <c r="E25" s="325">
        <v>2086</v>
      </c>
      <c r="F25" s="325">
        <v>3829</v>
      </c>
      <c r="G25" s="325">
        <v>230</v>
      </c>
      <c r="H25" s="344">
        <v>400</v>
      </c>
      <c r="I25" s="348">
        <f t="shared" si="1"/>
        <v>17018</v>
      </c>
    </row>
    <row r="26" spans="1:9" ht="12.75" customHeight="1">
      <c r="A26" s="1566" t="s">
        <v>259</v>
      </c>
      <c r="B26" s="1567" t="s">
        <v>121</v>
      </c>
      <c r="C26" s="340" t="s">
        <v>4</v>
      </c>
      <c r="D26" s="334">
        <v>100672</v>
      </c>
      <c r="E26" s="325">
        <v>21473</v>
      </c>
      <c r="F26" s="325">
        <v>42922</v>
      </c>
      <c r="G26" s="325">
        <v>900</v>
      </c>
      <c r="H26" s="344">
        <v>4200</v>
      </c>
      <c r="I26" s="348">
        <f t="shared" si="1"/>
        <v>170167</v>
      </c>
    </row>
    <row r="27" spans="1:9" ht="12.75" customHeight="1">
      <c r="A27" s="1566"/>
      <c r="B27" s="1567"/>
      <c r="C27" s="340" t="s">
        <v>892</v>
      </c>
      <c r="D27" s="334">
        <v>116935</v>
      </c>
      <c r="E27" s="325">
        <v>24851</v>
      </c>
      <c r="F27" s="325">
        <v>45905</v>
      </c>
      <c r="G27" s="325">
        <v>5900</v>
      </c>
      <c r="H27" s="344">
        <v>1200</v>
      </c>
      <c r="I27" s="348">
        <f aca="true" t="shared" si="8" ref="I27">SUM(D27:H27)</f>
        <v>194791</v>
      </c>
    </row>
    <row r="28" spans="1:9" ht="15">
      <c r="A28" s="1566"/>
      <c r="B28" s="1567"/>
      <c r="C28" s="340" t="s">
        <v>929</v>
      </c>
      <c r="D28" s="334">
        <v>119439</v>
      </c>
      <c r="E28" s="325">
        <v>25720</v>
      </c>
      <c r="F28" s="325">
        <v>42600</v>
      </c>
      <c r="G28" s="325">
        <v>5900</v>
      </c>
      <c r="H28" s="344">
        <v>1200</v>
      </c>
      <c r="I28" s="348">
        <f t="shared" si="1"/>
        <v>194859</v>
      </c>
    </row>
    <row r="29" spans="1:9" ht="12.75" customHeight="1">
      <c r="A29" s="1566" t="s">
        <v>260</v>
      </c>
      <c r="B29" s="1567" t="s">
        <v>121</v>
      </c>
      <c r="C29" s="340" t="s">
        <v>4</v>
      </c>
      <c r="D29" s="334"/>
      <c r="E29" s="325"/>
      <c r="F29" s="325">
        <v>75553</v>
      </c>
      <c r="G29" s="325"/>
      <c r="H29" s="344"/>
      <c r="I29" s="348">
        <f t="shared" si="1"/>
        <v>75553</v>
      </c>
    </row>
    <row r="30" spans="1:9" ht="12.75" customHeight="1">
      <c r="A30" s="1566"/>
      <c r="B30" s="1567"/>
      <c r="C30" s="340" t="s">
        <v>892</v>
      </c>
      <c r="D30" s="334"/>
      <c r="E30" s="325"/>
      <c r="F30" s="325">
        <v>77463</v>
      </c>
      <c r="G30" s="325"/>
      <c r="H30" s="344"/>
      <c r="I30" s="348">
        <f aca="true" t="shared" si="9" ref="I30">SUM(D30:H30)</f>
        <v>77463</v>
      </c>
    </row>
    <row r="31" spans="1:9" ht="15">
      <c r="A31" s="1566"/>
      <c r="B31" s="1567"/>
      <c r="C31" s="340" t="s">
        <v>929</v>
      </c>
      <c r="D31" s="334"/>
      <c r="E31" s="325"/>
      <c r="F31" s="325">
        <v>72601</v>
      </c>
      <c r="G31" s="325"/>
      <c r="H31" s="344"/>
      <c r="I31" s="348">
        <f t="shared" si="1"/>
        <v>72601</v>
      </c>
    </row>
    <row r="32" spans="1:9" ht="12.75" customHeight="1">
      <c r="A32" s="1566" t="s">
        <v>261</v>
      </c>
      <c r="B32" s="1567" t="s">
        <v>121</v>
      </c>
      <c r="C32" s="340" t="s">
        <v>4</v>
      </c>
      <c r="D32" s="334"/>
      <c r="E32" s="325"/>
      <c r="F32" s="325">
        <v>39154</v>
      </c>
      <c r="G32" s="325"/>
      <c r="H32" s="344"/>
      <c r="I32" s="348">
        <f t="shared" si="1"/>
        <v>39154</v>
      </c>
    </row>
    <row r="33" spans="1:9" ht="12.75" customHeight="1">
      <c r="A33" s="1566"/>
      <c r="B33" s="1567"/>
      <c r="C33" s="340" t="s">
        <v>892</v>
      </c>
      <c r="D33" s="334"/>
      <c r="E33" s="325"/>
      <c r="F33" s="325">
        <v>40269</v>
      </c>
      <c r="G33" s="325"/>
      <c r="H33" s="344"/>
      <c r="I33" s="348">
        <f aca="true" t="shared" si="10" ref="I33">SUM(D33:H33)</f>
        <v>40269</v>
      </c>
    </row>
    <row r="34" spans="1:9" ht="15">
      <c r="A34" s="1566"/>
      <c r="B34" s="1567"/>
      <c r="C34" s="340" t="s">
        <v>929</v>
      </c>
      <c r="D34" s="334"/>
      <c r="E34" s="325"/>
      <c r="F34" s="325">
        <v>47693</v>
      </c>
      <c r="G34" s="325"/>
      <c r="H34" s="344"/>
      <c r="I34" s="348">
        <f t="shared" si="1"/>
        <v>47693</v>
      </c>
    </row>
    <row r="35" spans="1:9" s="760" customFormat="1" ht="12.75" customHeight="1">
      <c r="A35" s="1555" t="s">
        <v>262</v>
      </c>
      <c r="B35" s="1558" t="s">
        <v>121</v>
      </c>
      <c r="C35" s="341" t="s">
        <v>4</v>
      </c>
      <c r="D35" s="336">
        <f>D29+D32</f>
        <v>0</v>
      </c>
      <c r="E35" s="327">
        <f aca="true" t="shared" si="11" ref="E35:H35">E29+E32</f>
        <v>0</v>
      </c>
      <c r="F35" s="327">
        <f t="shared" si="11"/>
        <v>114707</v>
      </c>
      <c r="G35" s="327">
        <f t="shared" si="11"/>
        <v>0</v>
      </c>
      <c r="H35" s="345">
        <f t="shared" si="11"/>
        <v>0</v>
      </c>
      <c r="I35" s="349">
        <f t="shared" si="1"/>
        <v>114707</v>
      </c>
    </row>
    <row r="36" spans="1:9" s="760" customFormat="1" ht="12.75" customHeight="1">
      <c r="A36" s="1555"/>
      <c r="B36" s="1558"/>
      <c r="C36" s="341" t="s">
        <v>803</v>
      </c>
      <c r="D36" s="336">
        <f aca="true" t="shared" si="12" ref="D36:H37">D30+D33</f>
        <v>0</v>
      </c>
      <c r="E36" s="327">
        <f t="shared" si="12"/>
        <v>0</v>
      </c>
      <c r="F36" s="327">
        <f t="shared" si="12"/>
        <v>117732</v>
      </c>
      <c r="G36" s="327">
        <f t="shared" si="12"/>
        <v>0</v>
      </c>
      <c r="H36" s="345">
        <f t="shared" si="12"/>
        <v>0</v>
      </c>
      <c r="I36" s="349">
        <f aca="true" t="shared" si="13" ref="I36">SUM(D36:H36)</f>
        <v>117732</v>
      </c>
    </row>
    <row r="37" spans="1:9" s="760" customFormat="1" ht="28.5">
      <c r="A37" s="1555"/>
      <c r="B37" s="1558"/>
      <c r="C37" s="341" t="s">
        <v>992</v>
      </c>
      <c r="D37" s="336">
        <f t="shared" si="12"/>
        <v>0</v>
      </c>
      <c r="E37" s="327">
        <f t="shared" si="12"/>
        <v>0</v>
      </c>
      <c r="F37" s="327">
        <f t="shared" si="12"/>
        <v>120294</v>
      </c>
      <c r="G37" s="327">
        <f t="shared" si="12"/>
        <v>0</v>
      </c>
      <c r="H37" s="345">
        <f t="shared" si="12"/>
        <v>0</v>
      </c>
      <c r="I37" s="349">
        <f t="shared" si="1"/>
        <v>120294</v>
      </c>
    </row>
    <row r="38" spans="1:9" ht="12.75" customHeight="1">
      <c r="A38" s="1566" t="s">
        <v>263</v>
      </c>
      <c r="B38" s="1567" t="s">
        <v>121</v>
      </c>
      <c r="C38" s="340" t="s">
        <v>4</v>
      </c>
      <c r="D38" s="334"/>
      <c r="E38" s="325"/>
      <c r="F38" s="325">
        <v>111078</v>
      </c>
      <c r="G38" s="325"/>
      <c r="H38" s="344"/>
      <c r="I38" s="348">
        <f t="shared" si="1"/>
        <v>111078</v>
      </c>
    </row>
    <row r="39" spans="1:9" ht="12.75" customHeight="1">
      <c r="A39" s="1566"/>
      <c r="B39" s="1567"/>
      <c r="C39" s="340" t="s">
        <v>892</v>
      </c>
      <c r="D39" s="334"/>
      <c r="E39" s="325"/>
      <c r="F39" s="325">
        <v>112759</v>
      </c>
      <c r="G39" s="325">
        <v>328</v>
      </c>
      <c r="H39" s="344"/>
      <c r="I39" s="348">
        <f aca="true" t="shared" si="14" ref="I39">SUM(D39:H39)</f>
        <v>113087</v>
      </c>
    </row>
    <row r="40" spans="1:9" ht="15">
      <c r="A40" s="1566"/>
      <c r="B40" s="1567"/>
      <c r="C40" s="340" t="s">
        <v>929</v>
      </c>
      <c r="D40" s="334"/>
      <c r="E40" s="325"/>
      <c r="F40" s="325">
        <v>114974</v>
      </c>
      <c r="G40" s="325">
        <v>328</v>
      </c>
      <c r="H40" s="344"/>
      <c r="I40" s="348">
        <f t="shared" si="1"/>
        <v>115302</v>
      </c>
    </row>
    <row r="41" spans="1:9" ht="12.75" customHeight="1">
      <c r="A41" s="1566" t="s">
        <v>264</v>
      </c>
      <c r="B41" s="1567" t="s">
        <v>121</v>
      </c>
      <c r="C41" s="340" t="s">
        <v>4</v>
      </c>
      <c r="D41" s="334"/>
      <c r="E41" s="325"/>
      <c r="F41" s="325">
        <v>32037</v>
      </c>
      <c r="G41" s="325"/>
      <c r="H41" s="344"/>
      <c r="I41" s="348">
        <f t="shared" si="1"/>
        <v>32037</v>
      </c>
    </row>
    <row r="42" spans="1:9" ht="12.75" customHeight="1">
      <c r="A42" s="1566"/>
      <c r="B42" s="1567"/>
      <c r="C42" s="340" t="s">
        <v>892</v>
      </c>
      <c r="D42" s="334"/>
      <c r="E42" s="325"/>
      <c r="F42" s="325">
        <v>33147</v>
      </c>
      <c r="G42" s="325"/>
      <c r="H42" s="344"/>
      <c r="I42" s="348">
        <f aca="true" t="shared" si="15" ref="I42">SUM(D42:H42)</f>
        <v>33147</v>
      </c>
    </row>
    <row r="43" spans="1:9" ht="15">
      <c r="A43" s="1566"/>
      <c r="B43" s="1567"/>
      <c r="C43" s="340" t="s">
        <v>929</v>
      </c>
      <c r="D43" s="334"/>
      <c r="E43" s="325"/>
      <c r="F43" s="325">
        <v>33147</v>
      </c>
      <c r="G43" s="325"/>
      <c r="H43" s="344"/>
      <c r="I43" s="348">
        <f t="shared" si="1"/>
        <v>33147</v>
      </c>
    </row>
    <row r="44" spans="1:9" s="760" customFormat="1" ht="12.75" customHeight="1">
      <c r="A44" s="1555" t="s">
        <v>265</v>
      </c>
      <c r="B44" s="1558" t="s">
        <v>121</v>
      </c>
      <c r="C44" s="341" t="s">
        <v>4</v>
      </c>
      <c r="D44" s="336">
        <f>D38+D41</f>
        <v>0</v>
      </c>
      <c r="E44" s="327">
        <f aca="true" t="shared" si="16" ref="E44:H44">E38+E41</f>
        <v>0</v>
      </c>
      <c r="F44" s="327">
        <f t="shared" si="16"/>
        <v>143115</v>
      </c>
      <c r="G44" s="327">
        <f t="shared" si="16"/>
        <v>0</v>
      </c>
      <c r="H44" s="345">
        <f t="shared" si="16"/>
        <v>0</v>
      </c>
      <c r="I44" s="349">
        <f t="shared" si="1"/>
        <v>143115</v>
      </c>
    </row>
    <row r="45" spans="1:9" s="760" customFormat="1" ht="12.75" customHeight="1">
      <c r="A45" s="1555"/>
      <c r="B45" s="1558"/>
      <c r="C45" s="341" t="s">
        <v>803</v>
      </c>
      <c r="D45" s="336">
        <f aca="true" t="shared" si="17" ref="D45:H46">D39+D42</f>
        <v>0</v>
      </c>
      <c r="E45" s="327">
        <f t="shared" si="17"/>
        <v>0</v>
      </c>
      <c r="F45" s="327">
        <f t="shared" si="17"/>
        <v>145906</v>
      </c>
      <c r="G45" s="327">
        <f t="shared" si="17"/>
        <v>328</v>
      </c>
      <c r="H45" s="345">
        <f t="shared" si="17"/>
        <v>0</v>
      </c>
      <c r="I45" s="349">
        <f aca="true" t="shared" si="18" ref="I45">SUM(D45:H45)</f>
        <v>146234</v>
      </c>
    </row>
    <row r="46" spans="1:9" s="760" customFormat="1" ht="28.5">
      <c r="A46" s="1555"/>
      <c r="B46" s="1558"/>
      <c r="C46" s="341" t="s">
        <v>992</v>
      </c>
      <c r="D46" s="336">
        <f t="shared" si="17"/>
        <v>0</v>
      </c>
      <c r="E46" s="327">
        <f t="shared" si="17"/>
        <v>0</v>
      </c>
      <c r="F46" s="327">
        <f t="shared" si="17"/>
        <v>148121</v>
      </c>
      <c r="G46" s="327">
        <f t="shared" si="17"/>
        <v>328</v>
      </c>
      <c r="H46" s="345">
        <f t="shared" si="17"/>
        <v>0</v>
      </c>
      <c r="I46" s="349">
        <f t="shared" si="1"/>
        <v>148449</v>
      </c>
    </row>
    <row r="47" spans="1:9" ht="12.75" customHeight="1">
      <c r="A47" s="1566" t="s">
        <v>266</v>
      </c>
      <c r="B47" s="1567" t="s">
        <v>121</v>
      </c>
      <c r="C47" s="340" t="s">
        <v>4</v>
      </c>
      <c r="D47" s="334"/>
      <c r="E47" s="325"/>
      <c r="F47" s="325">
        <v>30606</v>
      </c>
      <c r="G47" s="325"/>
      <c r="H47" s="344"/>
      <c r="I47" s="348">
        <f t="shared" si="1"/>
        <v>30606</v>
      </c>
    </row>
    <row r="48" spans="1:9" ht="12.75" customHeight="1">
      <c r="A48" s="1566"/>
      <c r="B48" s="1567"/>
      <c r="C48" s="340" t="s">
        <v>892</v>
      </c>
      <c r="D48" s="334"/>
      <c r="E48" s="325"/>
      <c r="F48" s="325">
        <v>31312</v>
      </c>
      <c r="G48" s="325"/>
      <c r="H48" s="344"/>
      <c r="I48" s="348">
        <f aca="true" t="shared" si="19" ref="I48">SUM(D48:H48)</f>
        <v>31312</v>
      </c>
    </row>
    <row r="49" spans="1:9" ht="15">
      <c r="A49" s="1566"/>
      <c r="B49" s="1567"/>
      <c r="C49" s="340" t="s">
        <v>929</v>
      </c>
      <c r="D49" s="334"/>
      <c r="E49" s="325"/>
      <c r="F49" s="325">
        <v>31312</v>
      </c>
      <c r="G49" s="325"/>
      <c r="H49" s="344"/>
      <c r="I49" s="348">
        <f t="shared" si="1"/>
        <v>31312</v>
      </c>
    </row>
    <row r="50" spans="1:9" ht="12.75" customHeight="1">
      <c r="A50" s="1566" t="s">
        <v>267</v>
      </c>
      <c r="B50" s="1567" t="s">
        <v>121</v>
      </c>
      <c r="C50" s="340" t="s">
        <v>4</v>
      </c>
      <c r="D50" s="334"/>
      <c r="E50" s="325"/>
      <c r="F50" s="325">
        <v>10260</v>
      </c>
      <c r="G50" s="325"/>
      <c r="H50" s="344"/>
      <c r="I50" s="348">
        <f t="shared" si="1"/>
        <v>10260</v>
      </c>
    </row>
    <row r="51" spans="1:9" ht="12.75" customHeight="1">
      <c r="A51" s="1566"/>
      <c r="B51" s="1567"/>
      <c r="C51" s="340" t="s">
        <v>892</v>
      </c>
      <c r="D51" s="334"/>
      <c r="E51" s="325"/>
      <c r="F51" s="325">
        <v>10523</v>
      </c>
      <c r="G51" s="325"/>
      <c r="H51" s="344"/>
      <c r="I51" s="348">
        <f aca="true" t="shared" si="20" ref="I51">SUM(D51:H51)</f>
        <v>10523</v>
      </c>
    </row>
    <row r="52" spans="1:9" ht="15">
      <c r="A52" s="1566"/>
      <c r="B52" s="1567"/>
      <c r="C52" s="340" t="s">
        <v>929</v>
      </c>
      <c r="D52" s="334"/>
      <c r="E52" s="325"/>
      <c r="F52" s="325">
        <v>11227</v>
      </c>
      <c r="G52" s="325"/>
      <c r="H52" s="344"/>
      <c r="I52" s="348">
        <f t="shared" si="1"/>
        <v>11227</v>
      </c>
    </row>
    <row r="53" spans="1:9" ht="12.75" customHeight="1">
      <c r="A53" s="1566" t="s">
        <v>829</v>
      </c>
      <c r="B53" s="1567" t="s">
        <v>121</v>
      </c>
      <c r="C53" s="340" t="s">
        <v>4</v>
      </c>
      <c r="D53" s="334"/>
      <c r="E53" s="325"/>
      <c r="F53" s="325"/>
      <c r="G53" s="325"/>
      <c r="H53" s="344"/>
      <c r="I53" s="348">
        <f aca="true" t="shared" si="21" ref="I53:I55">SUM(D53:H53)</f>
        <v>0</v>
      </c>
    </row>
    <row r="54" spans="1:9" ht="12.75" customHeight="1">
      <c r="A54" s="1566"/>
      <c r="B54" s="1567"/>
      <c r="C54" s="340" t="s">
        <v>892</v>
      </c>
      <c r="D54" s="334"/>
      <c r="E54" s="325"/>
      <c r="F54" s="325">
        <v>14000</v>
      </c>
      <c r="G54" s="325"/>
      <c r="H54" s="344"/>
      <c r="I54" s="348">
        <f aca="true" t="shared" si="22" ref="I54">SUM(D54:H54)</f>
        <v>14000</v>
      </c>
    </row>
    <row r="55" spans="1:9" ht="15">
      <c r="A55" s="1566"/>
      <c r="B55" s="1567"/>
      <c r="C55" s="340" t="s">
        <v>929</v>
      </c>
      <c r="D55" s="334"/>
      <c r="E55" s="325"/>
      <c r="F55" s="325">
        <v>15525</v>
      </c>
      <c r="G55" s="325"/>
      <c r="H55" s="344"/>
      <c r="I55" s="348">
        <f t="shared" si="21"/>
        <v>15525</v>
      </c>
    </row>
    <row r="56" spans="1:9" ht="12.75" customHeight="1">
      <c r="A56" s="1566" t="s">
        <v>268</v>
      </c>
      <c r="B56" s="1567" t="s">
        <v>283</v>
      </c>
      <c r="C56" s="340" t="s">
        <v>4</v>
      </c>
      <c r="D56" s="334">
        <v>41114</v>
      </c>
      <c r="E56" s="325">
        <v>7824</v>
      </c>
      <c r="F56" s="325">
        <v>33087</v>
      </c>
      <c r="G56" s="325">
        <v>1235</v>
      </c>
      <c r="H56" s="344"/>
      <c r="I56" s="348">
        <f t="shared" si="1"/>
        <v>83260</v>
      </c>
    </row>
    <row r="57" spans="1:9" ht="12.75" customHeight="1">
      <c r="A57" s="1566"/>
      <c r="B57" s="1567"/>
      <c r="C57" s="340" t="s">
        <v>892</v>
      </c>
      <c r="D57" s="334">
        <v>43777</v>
      </c>
      <c r="E57" s="325">
        <v>8507</v>
      </c>
      <c r="F57" s="325">
        <v>19718</v>
      </c>
      <c r="G57" s="325">
        <v>3034</v>
      </c>
      <c r="H57" s="344"/>
      <c r="I57" s="348">
        <f aca="true" t="shared" si="23" ref="I57">SUM(D57:H57)</f>
        <v>75036</v>
      </c>
    </row>
    <row r="58" spans="1:9" ht="15">
      <c r="A58" s="1566"/>
      <c r="B58" s="1567"/>
      <c r="C58" s="340" t="s">
        <v>929</v>
      </c>
      <c r="D58" s="334">
        <v>38777</v>
      </c>
      <c r="E58" s="325">
        <v>7532</v>
      </c>
      <c r="F58" s="325">
        <v>17396</v>
      </c>
      <c r="G58" s="325">
        <v>3034</v>
      </c>
      <c r="H58" s="344">
        <v>0</v>
      </c>
      <c r="I58" s="348">
        <f t="shared" si="1"/>
        <v>66739</v>
      </c>
    </row>
    <row r="59" spans="1:9" s="760" customFormat="1" ht="12.75" customHeight="1">
      <c r="A59" s="1555" t="s">
        <v>270</v>
      </c>
      <c r="B59" s="1558"/>
      <c r="C59" s="341" t="s">
        <v>4</v>
      </c>
      <c r="D59" s="336">
        <f>D35+D44+D47+D50+D56+D53</f>
        <v>41114</v>
      </c>
      <c r="E59" s="327">
        <f aca="true" t="shared" si="24" ref="E59:H59">E35+E44+E47+E50+E56+E53</f>
        <v>7824</v>
      </c>
      <c r="F59" s="327">
        <f t="shared" si="24"/>
        <v>331775</v>
      </c>
      <c r="G59" s="327">
        <f t="shared" si="24"/>
        <v>1235</v>
      </c>
      <c r="H59" s="345">
        <f t="shared" si="24"/>
        <v>0</v>
      </c>
      <c r="I59" s="349">
        <f t="shared" si="1"/>
        <v>381948</v>
      </c>
    </row>
    <row r="60" spans="1:9" s="760" customFormat="1" ht="12.75" customHeight="1">
      <c r="A60" s="1555"/>
      <c r="B60" s="1558"/>
      <c r="C60" s="341" t="s">
        <v>803</v>
      </c>
      <c r="D60" s="336">
        <f aca="true" t="shared" si="25" ref="D60:H61">D36+D45+D48+D51+D57+D54</f>
        <v>43777</v>
      </c>
      <c r="E60" s="327">
        <f t="shared" si="25"/>
        <v>8507</v>
      </c>
      <c r="F60" s="327">
        <f t="shared" si="25"/>
        <v>339191</v>
      </c>
      <c r="G60" s="327">
        <f t="shared" si="25"/>
        <v>3362</v>
      </c>
      <c r="H60" s="345">
        <f t="shared" si="25"/>
        <v>0</v>
      </c>
      <c r="I60" s="349">
        <f aca="true" t="shared" si="26" ref="I60">SUM(D60:H60)</f>
        <v>394837</v>
      </c>
    </row>
    <row r="61" spans="1:9" s="760" customFormat="1" ht="28.5">
      <c r="A61" s="1555"/>
      <c r="B61" s="1558"/>
      <c r="C61" s="341" t="s">
        <v>992</v>
      </c>
      <c r="D61" s="336">
        <f t="shared" si="25"/>
        <v>38777</v>
      </c>
      <c r="E61" s="327">
        <f t="shared" si="25"/>
        <v>7532</v>
      </c>
      <c r="F61" s="327">
        <f t="shared" si="25"/>
        <v>343875</v>
      </c>
      <c r="G61" s="327">
        <f t="shared" si="25"/>
        <v>3362</v>
      </c>
      <c r="H61" s="345">
        <f t="shared" si="25"/>
        <v>0</v>
      </c>
      <c r="I61" s="349">
        <f t="shared" si="1"/>
        <v>393546</v>
      </c>
    </row>
    <row r="62" spans="1:9" ht="12.75" customHeight="1">
      <c r="A62" s="1566" t="s">
        <v>271</v>
      </c>
      <c r="B62" s="1567" t="s">
        <v>121</v>
      </c>
      <c r="C62" s="340" t="s">
        <v>4</v>
      </c>
      <c r="D62" s="334">
        <v>121604</v>
      </c>
      <c r="E62" s="325">
        <v>25263</v>
      </c>
      <c r="F62" s="325">
        <v>49298</v>
      </c>
      <c r="G62" s="325">
        <v>11287</v>
      </c>
      <c r="H62" s="344">
        <v>11300</v>
      </c>
      <c r="I62" s="348">
        <f t="shared" si="1"/>
        <v>218752</v>
      </c>
    </row>
    <row r="63" spans="1:9" ht="12.75" customHeight="1">
      <c r="A63" s="1566"/>
      <c r="B63" s="1567"/>
      <c r="C63" s="340" t="s">
        <v>892</v>
      </c>
      <c r="D63" s="334">
        <v>158075</v>
      </c>
      <c r="E63" s="325">
        <v>32664</v>
      </c>
      <c r="F63" s="325">
        <v>267423</v>
      </c>
      <c r="G63" s="325">
        <v>31332</v>
      </c>
      <c r="H63" s="344">
        <v>11300</v>
      </c>
      <c r="I63" s="348">
        <f aca="true" t="shared" si="27" ref="I63">SUM(D63:H63)</f>
        <v>500794</v>
      </c>
    </row>
    <row r="64" spans="1:9" ht="15">
      <c r="A64" s="1566"/>
      <c r="B64" s="1567"/>
      <c r="C64" s="340" t="s">
        <v>929</v>
      </c>
      <c r="D64" s="334">
        <v>143722</v>
      </c>
      <c r="E64" s="325">
        <v>27787</v>
      </c>
      <c r="F64" s="325">
        <v>267423</v>
      </c>
      <c r="G64" s="325">
        <v>33832</v>
      </c>
      <c r="H64" s="344">
        <v>11300</v>
      </c>
      <c r="I64" s="348">
        <f t="shared" si="1"/>
        <v>484064</v>
      </c>
    </row>
    <row r="65" spans="1:9" ht="12.75" customHeight="1">
      <c r="A65" s="1566" t="s">
        <v>272</v>
      </c>
      <c r="B65" s="1567" t="s">
        <v>121</v>
      </c>
      <c r="C65" s="340" t="s">
        <v>4</v>
      </c>
      <c r="D65" s="334">
        <v>26515</v>
      </c>
      <c r="E65" s="325">
        <v>4860</v>
      </c>
      <c r="F65" s="325">
        <v>12185</v>
      </c>
      <c r="G65" s="325">
        <v>1795</v>
      </c>
      <c r="H65" s="344">
        <v>2500</v>
      </c>
      <c r="I65" s="348">
        <f t="shared" si="1"/>
        <v>47855</v>
      </c>
    </row>
    <row r="66" spans="1:9" ht="12.75" customHeight="1">
      <c r="A66" s="1566"/>
      <c r="B66" s="1567"/>
      <c r="C66" s="340" t="s">
        <v>892</v>
      </c>
      <c r="D66" s="334">
        <v>30282</v>
      </c>
      <c r="E66" s="325">
        <v>5886</v>
      </c>
      <c r="F66" s="325">
        <v>12604</v>
      </c>
      <c r="G66" s="325">
        <v>2766</v>
      </c>
      <c r="H66" s="344">
        <v>2500</v>
      </c>
      <c r="I66" s="348">
        <f aca="true" t="shared" si="28" ref="I66">SUM(D66:H66)</f>
        <v>54038</v>
      </c>
    </row>
    <row r="67" spans="1:9" ht="15">
      <c r="A67" s="1566"/>
      <c r="B67" s="1567"/>
      <c r="C67" s="340" t="s">
        <v>929</v>
      </c>
      <c r="D67" s="334">
        <v>30482</v>
      </c>
      <c r="E67" s="325">
        <v>5925</v>
      </c>
      <c r="F67" s="325">
        <v>12604</v>
      </c>
      <c r="G67" s="325">
        <v>2952</v>
      </c>
      <c r="H67" s="344">
        <v>2314</v>
      </c>
      <c r="I67" s="348">
        <f t="shared" si="1"/>
        <v>54277</v>
      </c>
    </row>
    <row r="68" spans="1:9" ht="12.75" customHeight="1">
      <c r="A68" s="1566" t="s">
        <v>273</v>
      </c>
      <c r="B68" s="1567" t="s">
        <v>121</v>
      </c>
      <c r="C68" s="340" t="s">
        <v>4</v>
      </c>
      <c r="D68" s="334">
        <v>51079</v>
      </c>
      <c r="E68" s="325">
        <v>9636</v>
      </c>
      <c r="F68" s="325">
        <v>18738</v>
      </c>
      <c r="G68" s="325">
        <v>1634</v>
      </c>
      <c r="H68" s="344"/>
      <c r="I68" s="348">
        <f t="shared" si="1"/>
        <v>81087</v>
      </c>
    </row>
    <row r="69" spans="1:9" ht="12.75" customHeight="1">
      <c r="A69" s="1566"/>
      <c r="B69" s="1567"/>
      <c r="C69" s="340" t="s">
        <v>892</v>
      </c>
      <c r="D69" s="334">
        <v>52818</v>
      </c>
      <c r="E69" s="325">
        <v>10062</v>
      </c>
      <c r="F69" s="325">
        <v>23453</v>
      </c>
      <c r="G69" s="325">
        <v>1634</v>
      </c>
      <c r="H69" s="344"/>
      <c r="I69" s="348">
        <f aca="true" t="shared" si="29" ref="I69">SUM(D69:H69)</f>
        <v>87967</v>
      </c>
    </row>
    <row r="70" spans="1:9" ht="15.75" thickBot="1">
      <c r="A70" s="1568"/>
      <c r="B70" s="1569"/>
      <c r="C70" s="372" t="s">
        <v>931</v>
      </c>
      <c r="D70" s="373">
        <v>53240</v>
      </c>
      <c r="E70" s="374">
        <v>10387</v>
      </c>
      <c r="F70" s="374">
        <v>23453</v>
      </c>
      <c r="G70" s="374">
        <v>949</v>
      </c>
      <c r="H70" s="375">
        <v>0</v>
      </c>
      <c r="I70" s="376">
        <f t="shared" si="1"/>
        <v>88029</v>
      </c>
    </row>
    <row r="71" spans="1:9" s="760" customFormat="1" ht="12.75" customHeight="1">
      <c r="A71" s="1564" t="s">
        <v>991</v>
      </c>
      <c r="B71" s="1565" t="s">
        <v>284</v>
      </c>
      <c r="C71" s="357" t="s">
        <v>4</v>
      </c>
      <c r="D71" s="358">
        <f>D5+D8+D11+D14+D17+D20+D23+D26+D59+D62+D65+D68</f>
        <v>694122</v>
      </c>
      <c r="E71" s="359">
        <f aca="true" t="shared" si="30" ref="E71:H71">E5+E8+E11+E14+E17+E20+E23+E26+E59+E62+E65+E68</f>
        <v>137190</v>
      </c>
      <c r="F71" s="359">
        <f t="shared" si="30"/>
        <v>544616</v>
      </c>
      <c r="G71" s="359">
        <f t="shared" si="30"/>
        <v>19297</v>
      </c>
      <c r="H71" s="360">
        <f t="shared" si="30"/>
        <v>29071</v>
      </c>
      <c r="I71" s="361">
        <f t="shared" si="1"/>
        <v>1424296</v>
      </c>
    </row>
    <row r="72" spans="1:9" s="760" customFormat="1" ht="12.75" customHeight="1">
      <c r="A72" s="1555"/>
      <c r="B72" s="1558"/>
      <c r="C72" s="341" t="s">
        <v>803</v>
      </c>
      <c r="D72" s="336">
        <f aca="true" t="shared" si="31" ref="D72:H73">D6+D9+D12+D15+D18+D21+D24+D27+D60+D63+D66+D69</f>
        <v>761767</v>
      </c>
      <c r="E72" s="327">
        <f t="shared" si="31"/>
        <v>151983</v>
      </c>
      <c r="F72" s="327">
        <f t="shared" si="31"/>
        <v>782698</v>
      </c>
      <c r="G72" s="327">
        <f t="shared" si="31"/>
        <v>49115</v>
      </c>
      <c r="H72" s="345">
        <f t="shared" si="31"/>
        <v>23828</v>
      </c>
      <c r="I72" s="349">
        <f aca="true" t="shared" si="32" ref="I72">SUM(D72:H72)</f>
        <v>1769391</v>
      </c>
    </row>
    <row r="73" spans="1:9" s="760" customFormat="1" ht="29.25" thickBot="1">
      <c r="A73" s="1556"/>
      <c r="B73" s="1559"/>
      <c r="C73" s="342" t="s">
        <v>992</v>
      </c>
      <c r="D73" s="362">
        <f t="shared" si="31"/>
        <v>747555</v>
      </c>
      <c r="E73" s="363">
        <f t="shared" si="31"/>
        <v>148684</v>
      </c>
      <c r="F73" s="363">
        <f t="shared" si="31"/>
        <v>780374</v>
      </c>
      <c r="G73" s="363">
        <f t="shared" si="31"/>
        <v>50636</v>
      </c>
      <c r="H73" s="364">
        <f t="shared" si="31"/>
        <v>23642</v>
      </c>
      <c r="I73" s="365">
        <f aca="true" t="shared" si="33" ref="I73:I79">SUM(D73:H73)</f>
        <v>1750891</v>
      </c>
    </row>
    <row r="74" spans="1:9" s="760" customFormat="1" ht="12.75" customHeight="1">
      <c r="A74" s="1564" t="s">
        <v>275</v>
      </c>
      <c r="B74" s="1565" t="s">
        <v>285</v>
      </c>
      <c r="C74" s="357" t="s">
        <v>4</v>
      </c>
      <c r="D74" s="358">
        <f>D5+D8+D11+D14+D17+D20+D23+D26+D47+D62+D65+D68+D50+D53+D29+D32+D38+D41</f>
        <v>653008</v>
      </c>
      <c r="E74" s="359">
        <f aca="true" t="shared" si="34" ref="E74:H74">E5+E8+E11+E14+E17+E20+E23+E26+E47+E62+E65+E68+E50+E53+E29+E32+E38+E41</f>
        <v>129366</v>
      </c>
      <c r="F74" s="359">
        <f t="shared" si="34"/>
        <v>511529</v>
      </c>
      <c r="G74" s="359">
        <f t="shared" si="34"/>
        <v>18062</v>
      </c>
      <c r="H74" s="360">
        <f t="shared" si="34"/>
        <v>29071</v>
      </c>
      <c r="I74" s="361">
        <f t="shared" si="33"/>
        <v>1341036</v>
      </c>
    </row>
    <row r="75" spans="1:9" s="760" customFormat="1" ht="12.75" customHeight="1">
      <c r="A75" s="1555"/>
      <c r="B75" s="1558"/>
      <c r="C75" s="341" t="s">
        <v>803</v>
      </c>
      <c r="D75" s="336">
        <f aca="true" t="shared" si="35" ref="D75:H76">D6+D9+D12+D15+D18+D21+D24+D27+D48+D63+D66+D69+D51+D54+D30+D33+D39+D42</f>
        <v>717990</v>
      </c>
      <c r="E75" s="327">
        <f t="shared" si="35"/>
        <v>143476</v>
      </c>
      <c r="F75" s="327">
        <f t="shared" si="35"/>
        <v>762980</v>
      </c>
      <c r="G75" s="327">
        <f t="shared" si="35"/>
        <v>46081</v>
      </c>
      <c r="H75" s="345">
        <f t="shared" si="35"/>
        <v>23828</v>
      </c>
      <c r="I75" s="349">
        <f aca="true" t="shared" si="36" ref="I75">SUM(D75:H75)</f>
        <v>1694355</v>
      </c>
    </row>
    <row r="76" spans="1:9" s="760" customFormat="1" ht="29.25" thickBot="1">
      <c r="A76" s="1556"/>
      <c r="B76" s="1559"/>
      <c r="C76" s="342" t="s">
        <v>992</v>
      </c>
      <c r="D76" s="362">
        <f t="shared" si="35"/>
        <v>708778</v>
      </c>
      <c r="E76" s="363">
        <f t="shared" si="35"/>
        <v>141152</v>
      </c>
      <c r="F76" s="363">
        <f t="shared" si="35"/>
        <v>762978</v>
      </c>
      <c r="G76" s="363">
        <f t="shared" si="35"/>
        <v>47602</v>
      </c>
      <c r="H76" s="364">
        <f t="shared" si="35"/>
        <v>23642</v>
      </c>
      <c r="I76" s="365">
        <f t="shared" si="33"/>
        <v>1684152</v>
      </c>
    </row>
    <row r="77" spans="1:9" s="760" customFormat="1" ht="12.75" customHeight="1">
      <c r="A77" s="1554" t="s">
        <v>276</v>
      </c>
      <c r="B77" s="1557" t="s">
        <v>269</v>
      </c>
      <c r="C77" s="351" t="s">
        <v>4</v>
      </c>
      <c r="D77" s="761">
        <f>D56</f>
        <v>41114</v>
      </c>
      <c r="E77" s="354">
        <f aca="true" t="shared" si="37" ref="E77:H77">E56</f>
        <v>7824</v>
      </c>
      <c r="F77" s="354">
        <f t="shared" si="37"/>
        <v>33087</v>
      </c>
      <c r="G77" s="354">
        <f t="shared" si="37"/>
        <v>1235</v>
      </c>
      <c r="H77" s="355">
        <f t="shared" si="37"/>
        <v>0</v>
      </c>
      <c r="I77" s="356">
        <f t="shared" si="33"/>
        <v>83260</v>
      </c>
    </row>
    <row r="78" spans="1:9" s="760" customFormat="1" ht="12.75" customHeight="1">
      <c r="A78" s="1555"/>
      <c r="B78" s="1558"/>
      <c r="C78" s="341" t="s">
        <v>803</v>
      </c>
      <c r="D78" s="336">
        <f aca="true" t="shared" si="38" ref="D78:H78">D57</f>
        <v>43777</v>
      </c>
      <c r="E78" s="327">
        <f t="shared" si="38"/>
        <v>8507</v>
      </c>
      <c r="F78" s="327">
        <f t="shared" si="38"/>
        <v>19718</v>
      </c>
      <c r="G78" s="327">
        <f t="shared" si="38"/>
        <v>3034</v>
      </c>
      <c r="H78" s="345">
        <f t="shared" si="38"/>
        <v>0</v>
      </c>
      <c r="I78" s="349">
        <f aca="true" t="shared" si="39" ref="I78">SUM(D78:H78)</f>
        <v>75036</v>
      </c>
    </row>
    <row r="79" spans="1:9" s="760" customFormat="1" ht="29.25" thickBot="1">
      <c r="A79" s="1556"/>
      <c r="B79" s="1559"/>
      <c r="C79" s="342" t="s">
        <v>992</v>
      </c>
      <c r="D79" s="362">
        <f>D58</f>
        <v>38777</v>
      </c>
      <c r="E79" s="363">
        <f>E58</f>
        <v>7532</v>
      </c>
      <c r="F79" s="363">
        <f>F58</f>
        <v>17396</v>
      </c>
      <c r="G79" s="363">
        <f>G58</f>
        <v>3034</v>
      </c>
      <c r="H79" s="364">
        <f>H58</f>
        <v>0</v>
      </c>
      <c r="I79" s="365">
        <f t="shared" si="33"/>
        <v>66739</v>
      </c>
    </row>
    <row r="80" spans="1:9" s="760" customFormat="1" ht="15">
      <c r="A80" s="1423" t="s">
        <v>995</v>
      </c>
      <c r="B80" s="305"/>
      <c r="C80" s="305"/>
      <c r="D80" s="1424"/>
      <c r="E80" s="1424"/>
      <c r="F80" s="1424"/>
      <c r="G80" s="1424"/>
      <c r="H80" s="1424"/>
      <c r="I80" s="1424"/>
    </row>
    <row r="81" ht="15">
      <c r="A81" s="1423" t="s">
        <v>996</v>
      </c>
    </row>
    <row r="82" ht="15">
      <c r="A82" s="1423" t="s">
        <v>997</v>
      </c>
    </row>
    <row r="83" ht="15">
      <c r="A83" s="1423" t="s">
        <v>998</v>
      </c>
    </row>
    <row r="84" ht="15">
      <c r="A84" s="1423" t="s">
        <v>999</v>
      </c>
    </row>
  </sheetData>
  <mergeCells count="57">
    <mergeCell ref="A1:I1"/>
    <mergeCell ref="A3:A4"/>
    <mergeCell ref="B3:B4"/>
    <mergeCell ref="C3:C4"/>
    <mergeCell ref="D3:E3"/>
    <mergeCell ref="F3:H3"/>
    <mergeCell ref="I3:I4"/>
    <mergeCell ref="A11:A13"/>
    <mergeCell ref="B11:B13"/>
    <mergeCell ref="A14:A16"/>
    <mergeCell ref="B14:B16"/>
    <mergeCell ref="A5:A7"/>
    <mergeCell ref="B5:B7"/>
    <mergeCell ref="A8:A10"/>
    <mergeCell ref="B8:B10"/>
    <mergeCell ref="A23:A25"/>
    <mergeCell ref="B23:B25"/>
    <mergeCell ref="A26:A28"/>
    <mergeCell ref="B26:B28"/>
    <mergeCell ref="A17:A19"/>
    <mergeCell ref="B17:B19"/>
    <mergeCell ref="A20:A22"/>
    <mergeCell ref="B20:B22"/>
    <mergeCell ref="A35:A37"/>
    <mergeCell ref="B35:B37"/>
    <mergeCell ref="A38:A40"/>
    <mergeCell ref="B38:B40"/>
    <mergeCell ref="A29:A31"/>
    <mergeCell ref="B29:B31"/>
    <mergeCell ref="A32:A34"/>
    <mergeCell ref="B32:B34"/>
    <mergeCell ref="A47:A49"/>
    <mergeCell ref="B47:B49"/>
    <mergeCell ref="A50:A52"/>
    <mergeCell ref="B50:B52"/>
    <mergeCell ref="A41:A43"/>
    <mergeCell ref="B41:B43"/>
    <mergeCell ref="A44:A46"/>
    <mergeCell ref="B44:B46"/>
    <mergeCell ref="A77:A79"/>
    <mergeCell ref="B77:B79"/>
    <mergeCell ref="A71:A73"/>
    <mergeCell ref="B71:B73"/>
    <mergeCell ref="A74:A76"/>
    <mergeCell ref="B74:B76"/>
    <mergeCell ref="A53:A55"/>
    <mergeCell ref="B53:B55"/>
    <mergeCell ref="A65:A67"/>
    <mergeCell ref="B65:B67"/>
    <mergeCell ref="A68:A70"/>
    <mergeCell ref="B68:B70"/>
    <mergeCell ref="A56:A58"/>
    <mergeCell ref="B56:B58"/>
    <mergeCell ref="A59:A61"/>
    <mergeCell ref="A62:A64"/>
    <mergeCell ref="B62:B64"/>
    <mergeCell ref="B59:B6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>
    <oddHeader>&amp;L&amp;"Times New Roman,Normál"&amp;8 6. melléklet 1,2,3,4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view="pageLayout" workbookViewId="0" topLeftCell="B1">
      <selection activeCell="B157" sqref="B157:B161"/>
    </sheetView>
  </sheetViews>
  <sheetFormatPr defaultColWidth="9.140625" defaultRowHeight="15"/>
  <cols>
    <col min="1" max="1" width="10.421875" style="377" hidden="1" customWidth="1"/>
    <col min="2" max="2" width="93.00390625" style="168" bestFit="1" customWidth="1"/>
    <col min="3" max="5" width="10.140625" style="168" customWidth="1"/>
    <col min="6" max="6" width="12.140625" style="1094" customWidth="1"/>
    <col min="7" max="12" width="9.140625" style="1094" customWidth="1"/>
    <col min="13" max="16384" width="9.140625" style="168" customWidth="1"/>
  </cols>
  <sheetData>
    <row r="1" spans="2:5" ht="15">
      <c r="B1" s="1582" t="s">
        <v>288</v>
      </c>
      <c r="C1" s="1582"/>
      <c r="D1" s="1582"/>
      <c r="E1" s="1582"/>
    </row>
    <row r="2" ht="15.75" thickBot="1">
      <c r="B2" s="426"/>
    </row>
    <row r="3" spans="2:5" ht="29.25" thickBot="1">
      <c r="B3" s="1333" t="s">
        <v>3</v>
      </c>
      <c r="C3" s="1334" t="s">
        <v>4</v>
      </c>
      <c r="D3" s="1301" t="s">
        <v>893</v>
      </c>
      <c r="E3" s="1302" t="s">
        <v>928</v>
      </c>
    </row>
    <row r="4" spans="2:5" ht="15.75" thickBot="1">
      <c r="B4" s="1335" t="s">
        <v>76</v>
      </c>
      <c r="C4" s="1336">
        <f>C6+C31</f>
        <v>1833212</v>
      </c>
      <c r="D4" s="1304">
        <f>D6+D31</f>
        <v>3038598</v>
      </c>
      <c r="E4" s="1305">
        <f>E6+E31</f>
        <v>3124466</v>
      </c>
    </row>
    <row r="5" spans="2:5" ht="15">
      <c r="B5" s="1337"/>
      <c r="C5" s="1338"/>
      <c r="D5" s="1327"/>
      <c r="E5" s="1328"/>
    </row>
    <row r="6" spans="2:5" ht="15">
      <c r="B6" s="1339" t="s">
        <v>289</v>
      </c>
      <c r="C6" s="1340">
        <f>SUM(C7:C29)</f>
        <v>1474078</v>
      </c>
      <c r="D6" s="1329">
        <f>SUM(D7:D29)</f>
        <v>2540741</v>
      </c>
      <c r="E6" s="1341">
        <f>SUM(E7:E29)</f>
        <v>2630975</v>
      </c>
    </row>
    <row r="7" spans="1:5" ht="30">
      <c r="A7" s="377" t="s">
        <v>218</v>
      </c>
      <c r="B7" s="1342" t="s">
        <v>290</v>
      </c>
      <c r="C7" s="1343">
        <v>2160</v>
      </c>
      <c r="D7" s="1307">
        <v>2160</v>
      </c>
      <c r="E7" s="1344">
        <v>2160</v>
      </c>
    </row>
    <row r="8" spans="1:5" ht="30">
      <c r="A8" s="377" t="s">
        <v>227</v>
      </c>
      <c r="B8" s="1345" t="s">
        <v>291</v>
      </c>
      <c r="C8" s="1343">
        <v>256912</v>
      </c>
      <c r="D8" s="1307">
        <v>271912</v>
      </c>
      <c r="E8" s="1344">
        <v>271912</v>
      </c>
    </row>
    <row r="9" spans="1:5" ht="30">
      <c r="A9" s="377" t="s">
        <v>227</v>
      </c>
      <c r="B9" s="1090" t="s">
        <v>292</v>
      </c>
      <c r="C9" s="1343">
        <v>184425</v>
      </c>
      <c r="D9" s="1307">
        <v>184425</v>
      </c>
      <c r="E9" s="1344">
        <v>184425</v>
      </c>
    </row>
    <row r="10" spans="1:5" ht="30">
      <c r="A10" s="377" t="s">
        <v>293</v>
      </c>
      <c r="B10" s="1090" t="s">
        <v>294</v>
      </c>
      <c r="C10" s="1343">
        <v>17000</v>
      </c>
      <c r="D10" s="1307">
        <v>346900</v>
      </c>
      <c r="E10" s="1344">
        <v>346900</v>
      </c>
    </row>
    <row r="11" spans="1:5" ht="15">
      <c r="A11" s="377" t="s">
        <v>293</v>
      </c>
      <c r="B11" s="1090" t="s">
        <v>295</v>
      </c>
      <c r="C11" s="1343">
        <v>98270</v>
      </c>
      <c r="D11" s="1307">
        <v>98270</v>
      </c>
      <c r="E11" s="1344">
        <v>98270</v>
      </c>
    </row>
    <row r="12" spans="1:5" ht="30.75" customHeight="1">
      <c r="A12" s="377" t="s">
        <v>227</v>
      </c>
      <c r="B12" s="1095" t="s">
        <v>296</v>
      </c>
      <c r="C12" s="1343">
        <v>341627</v>
      </c>
      <c r="D12" s="1307">
        <v>347629</v>
      </c>
      <c r="E12" s="1344">
        <v>356265</v>
      </c>
    </row>
    <row r="13" spans="1:5" ht="15">
      <c r="A13" s="377" t="s">
        <v>227</v>
      </c>
      <c r="B13" s="1095" t="s">
        <v>297</v>
      </c>
      <c r="C13" s="1343">
        <v>9700</v>
      </c>
      <c r="D13" s="1307">
        <v>56263</v>
      </c>
      <c r="E13" s="1344">
        <v>56263</v>
      </c>
    </row>
    <row r="14" spans="1:5" ht="15">
      <c r="A14" s="377" t="s">
        <v>227</v>
      </c>
      <c r="B14" s="1342" t="s">
        <v>298</v>
      </c>
      <c r="C14" s="1343">
        <v>426522</v>
      </c>
      <c r="D14" s="1307">
        <v>424274</v>
      </c>
      <c r="E14" s="1344">
        <v>501759</v>
      </c>
    </row>
    <row r="15" spans="1:5" ht="30">
      <c r="A15" s="377" t="s">
        <v>227</v>
      </c>
      <c r="B15" s="1342" t="s">
        <v>299</v>
      </c>
      <c r="C15" s="1343">
        <v>87027</v>
      </c>
      <c r="D15" s="1307">
        <v>87027</v>
      </c>
      <c r="E15" s="1344">
        <v>87027</v>
      </c>
    </row>
    <row r="16" spans="1:5" ht="15">
      <c r="A16" s="377" t="s">
        <v>227</v>
      </c>
      <c r="B16" s="1342" t="s">
        <v>300</v>
      </c>
      <c r="C16" s="1343">
        <v>15000</v>
      </c>
      <c r="D16" s="1307">
        <v>0</v>
      </c>
      <c r="E16" s="1344">
        <v>0</v>
      </c>
    </row>
    <row r="17" spans="1:5" ht="15">
      <c r="A17" s="377" t="s">
        <v>301</v>
      </c>
      <c r="B17" s="1342" t="s">
        <v>382</v>
      </c>
      <c r="C17" s="1343">
        <v>700</v>
      </c>
      <c r="D17" s="1307">
        <v>10700</v>
      </c>
      <c r="E17" s="1344">
        <v>10700</v>
      </c>
    </row>
    <row r="18" spans="1:5" ht="15">
      <c r="A18" s="377" t="s">
        <v>301</v>
      </c>
      <c r="B18" s="1342" t="s">
        <v>302</v>
      </c>
      <c r="C18" s="1343">
        <v>31000</v>
      </c>
      <c r="D18" s="1307">
        <v>31000</v>
      </c>
      <c r="E18" s="1344">
        <v>31000</v>
      </c>
    </row>
    <row r="19" spans="1:5" ht="15">
      <c r="A19" s="377" t="s">
        <v>303</v>
      </c>
      <c r="B19" s="1342" t="s">
        <v>304</v>
      </c>
      <c r="C19" s="1343">
        <v>3135</v>
      </c>
      <c r="D19" s="1307">
        <v>3135</v>
      </c>
      <c r="E19" s="1344">
        <v>3135</v>
      </c>
    </row>
    <row r="20" spans="1:5" ht="15">
      <c r="A20" s="377" t="s">
        <v>227</v>
      </c>
      <c r="B20" s="1342" t="s">
        <v>305</v>
      </c>
      <c r="C20" s="1343">
        <v>600</v>
      </c>
      <c r="D20" s="1307">
        <v>600</v>
      </c>
      <c r="E20" s="1344">
        <v>600</v>
      </c>
    </row>
    <row r="21" spans="1:5" ht="15">
      <c r="A21" s="377" t="s">
        <v>307</v>
      </c>
      <c r="B21" s="1346" t="s">
        <v>308</v>
      </c>
      <c r="C21" s="1347"/>
      <c r="D21" s="1348">
        <v>226026</v>
      </c>
      <c r="E21" s="1344">
        <v>226026</v>
      </c>
    </row>
    <row r="22" spans="2:5" ht="30">
      <c r="B22" s="1346" t="s">
        <v>973</v>
      </c>
      <c r="C22" s="1347"/>
      <c r="D22" s="1348">
        <v>33832</v>
      </c>
      <c r="E22" s="1344">
        <v>33832</v>
      </c>
    </row>
    <row r="23" spans="2:5" ht="15">
      <c r="B23" s="1346" t="s">
        <v>842</v>
      </c>
      <c r="C23" s="1347"/>
      <c r="D23" s="1348">
        <v>3429</v>
      </c>
      <c r="E23" s="1344">
        <v>7542</v>
      </c>
    </row>
    <row r="24" spans="2:5" ht="15">
      <c r="B24" s="1346" t="s">
        <v>843</v>
      </c>
      <c r="C24" s="1347"/>
      <c r="D24" s="1348">
        <v>1495</v>
      </c>
      <c r="E24" s="1344">
        <v>1495</v>
      </c>
    </row>
    <row r="25" spans="2:5" ht="15">
      <c r="B25" s="1346" t="s">
        <v>844</v>
      </c>
      <c r="C25" s="1347"/>
      <c r="D25" s="1348">
        <v>360888</v>
      </c>
      <c r="E25" s="1344">
        <v>360888</v>
      </c>
    </row>
    <row r="26" spans="2:5" ht="15">
      <c r="B26" s="1346" t="s">
        <v>845</v>
      </c>
      <c r="C26" s="1347"/>
      <c r="D26" s="1348">
        <v>3213</v>
      </c>
      <c r="E26" s="1344">
        <v>3213</v>
      </c>
    </row>
    <row r="27" spans="2:5" ht="15">
      <c r="B27" s="1346" t="s">
        <v>846</v>
      </c>
      <c r="C27" s="1347"/>
      <c r="D27" s="1348">
        <v>14567</v>
      </c>
      <c r="E27" s="1344">
        <v>14567</v>
      </c>
    </row>
    <row r="28" spans="2:5" ht="15">
      <c r="B28" s="1346" t="s">
        <v>847</v>
      </c>
      <c r="C28" s="1347"/>
      <c r="D28" s="1348">
        <v>839</v>
      </c>
      <c r="E28" s="1344">
        <v>839</v>
      </c>
    </row>
    <row r="29" spans="2:5" ht="15">
      <c r="B29" s="1346" t="s">
        <v>848</v>
      </c>
      <c r="C29" s="1347"/>
      <c r="D29" s="1348">
        <v>32157</v>
      </c>
      <c r="E29" s="1344">
        <v>32157</v>
      </c>
    </row>
    <row r="30" spans="1:5" ht="12.75" customHeight="1">
      <c r="A30" s="378" t="s">
        <v>218</v>
      </c>
      <c r="B30" s="1346"/>
      <c r="C30" s="1347"/>
      <c r="D30" s="1348"/>
      <c r="E30" s="1341"/>
    </row>
    <row r="31" spans="1:5" ht="13.5" customHeight="1">
      <c r="A31" s="378" t="s">
        <v>227</v>
      </c>
      <c r="B31" s="1349" t="s">
        <v>309</v>
      </c>
      <c r="C31" s="1340">
        <f>SUM(C32:C74)</f>
        <v>359134</v>
      </c>
      <c r="D31" s="1329">
        <f>SUM(D32:D74)</f>
        <v>497857</v>
      </c>
      <c r="E31" s="1341">
        <f>SUM(E32:E74)</f>
        <v>493491</v>
      </c>
    </row>
    <row r="32" spans="1:5" ht="13.5" customHeight="1">
      <c r="A32" s="378" t="s">
        <v>301</v>
      </c>
      <c r="B32" s="1095" t="s">
        <v>310</v>
      </c>
      <c r="C32" s="1343">
        <v>7000</v>
      </c>
      <c r="D32" s="1307">
        <v>5802</v>
      </c>
      <c r="E32" s="1350">
        <v>5802</v>
      </c>
    </row>
    <row r="33" spans="1:5" ht="30">
      <c r="A33" s="377" t="s">
        <v>311</v>
      </c>
      <c r="B33" s="1095" t="s">
        <v>383</v>
      </c>
      <c r="C33" s="1351">
        <v>500</v>
      </c>
      <c r="D33" s="1308">
        <v>500</v>
      </c>
      <c r="E33" s="1350">
        <v>500</v>
      </c>
    </row>
    <row r="34" spans="1:5" ht="15">
      <c r="A34" s="377" t="s">
        <v>311</v>
      </c>
      <c r="B34" s="1095" t="s">
        <v>312</v>
      </c>
      <c r="C34" s="1351">
        <v>6350</v>
      </c>
      <c r="D34" s="1308">
        <v>6459</v>
      </c>
      <c r="E34" s="1350">
        <v>6459</v>
      </c>
    </row>
    <row r="35" spans="1:5" ht="15">
      <c r="A35" s="377" t="s">
        <v>311</v>
      </c>
      <c r="B35" s="1095" t="s">
        <v>313</v>
      </c>
      <c r="C35" s="1351">
        <v>35000</v>
      </c>
      <c r="D35" s="1308">
        <v>43000</v>
      </c>
      <c r="E35" s="1350">
        <v>43000</v>
      </c>
    </row>
    <row r="36" spans="1:5" ht="15">
      <c r="A36" s="377" t="s">
        <v>311</v>
      </c>
      <c r="B36" s="1095" t="s">
        <v>314</v>
      </c>
      <c r="C36" s="1351">
        <v>5080</v>
      </c>
      <c r="D36" s="1308">
        <v>23780</v>
      </c>
      <c r="E36" s="1350">
        <v>23780</v>
      </c>
    </row>
    <row r="37" spans="1:5" ht="15">
      <c r="A37" s="377" t="s">
        <v>311</v>
      </c>
      <c r="B37" s="1095" t="s">
        <v>315</v>
      </c>
      <c r="C37" s="1351">
        <v>1000</v>
      </c>
      <c r="D37" s="1308">
        <v>1000</v>
      </c>
      <c r="E37" s="1350">
        <v>1000</v>
      </c>
    </row>
    <row r="38" spans="1:5" ht="15">
      <c r="A38" s="377" t="s">
        <v>316</v>
      </c>
      <c r="B38" s="1095" t="s">
        <v>317</v>
      </c>
      <c r="C38" s="1351">
        <v>20700</v>
      </c>
      <c r="D38" s="1308">
        <v>20700</v>
      </c>
      <c r="E38" s="1350">
        <v>20700</v>
      </c>
    </row>
    <row r="39" spans="1:5" ht="15">
      <c r="A39" s="377" t="s">
        <v>293</v>
      </c>
      <c r="B39" s="1095" t="s">
        <v>318</v>
      </c>
      <c r="C39" s="1351">
        <v>1245</v>
      </c>
      <c r="D39" s="1308">
        <v>1245</v>
      </c>
      <c r="E39" s="1350">
        <v>1245</v>
      </c>
    </row>
    <row r="40" spans="1:5" ht="15">
      <c r="A40" s="377" t="s">
        <v>293</v>
      </c>
      <c r="B40" s="1095" t="s">
        <v>319</v>
      </c>
      <c r="C40" s="1351">
        <v>15000</v>
      </c>
      <c r="D40" s="1308">
        <v>15000</v>
      </c>
      <c r="E40" s="1350">
        <v>15000</v>
      </c>
    </row>
    <row r="41" spans="1:5" ht="15">
      <c r="A41" s="377" t="s">
        <v>293</v>
      </c>
      <c r="B41" s="1095" t="s">
        <v>320</v>
      </c>
      <c r="C41" s="1351">
        <v>2635</v>
      </c>
      <c r="D41" s="1308">
        <v>2635</v>
      </c>
      <c r="E41" s="1350">
        <v>2635</v>
      </c>
    </row>
    <row r="42" spans="1:5" ht="15">
      <c r="A42" s="377" t="s">
        <v>293</v>
      </c>
      <c r="B42" s="1095" t="s">
        <v>321</v>
      </c>
      <c r="C42" s="1351">
        <v>10000</v>
      </c>
      <c r="D42" s="1308">
        <v>10450</v>
      </c>
      <c r="E42" s="1350">
        <v>10450</v>
      </c>
    </row>
    <row r="43" spans="1:5" ht="15.75" customHeight="1">
      <c r="A43" s="377" t="s">
        <v>227</v>
      </c>
      <c r="B43" s="1352" t="s">
        <v>322</v>
      </c>
      <c r="C43" s="1353">
        <v>2283</v>
      </c>
      <c r="D43" s="1354">
        <v>2283</v>
      </c>
      <c r="E43" s="1350">
        <v>2283</v>
      </c>
    </row>
    <row r="44" spans="1:5" ht="15">
      <c r="A44" s="377" t="s">
        <v>227</v>
      </c>
      <c r="B44" s="1352" t="s">
        <v>323</v>
      </c>
      <c r="C44" s="1353">
        <v>10000</v>
      </c>
      <c r="D44" s="1354">
        <v>10000</v>
      </c>
      <c r="E44" s="1350">
        <v>10000</v>
      </c>
    </row>
    <row r="45" spans="1:5" ht="15">
      <c r="A45" s="377" t="s">
        <v>307</v>
      </c>
      <c r="B45" s="1355" t="s">
        <v>324</v>
      </c>
      <c r="C45" s="1356">
        <v>89059</v>
      </c>
      <c r="D45" s="1319">
        <v>189059</v>
      </c>
      <c r="E45" s="1350">
        <v>189059</v>
      </c>
    </row>
    <row r="46" spans="1:5" ht="15">
      <c r="A46" s="377" t="s">
        <v>307</v>
      </c>
      <c r="B46" s="1095" t="s">
        <v>325</v>
      </c>
      <c r="C46" s="1351">
        <v>168</v>
      </c>
      <c r="D46" s="1308">
        <v>168</v>
      </c>
      <c r="E46" s="1350">
        <v>168</v>
      </c>
    </row>
    <row r="47" spans="1:5" ht="30">
      <c r="A47" s="377" t="s">
        <v>307</v>
      </c>
      <c r="B47" s="1095" t="s">
        <v>326</v>
      </c>
      <c r="C47" s="1351">
        <v>35000</v>
      </c>
      <c r="D47" s="1308">
        <v>9556</v>
      </c>
      <c r="E47" s="1350">
        <v>9556</v>
      </c>
    </row>
    <row r="48" spans="1:5" ht="15">
      <c r="A48" s="377" t="s">
        <v>303</v>
      </c>
      <c r="B48" s="1095" t="s">
        <v>327</v>
      </c>
      <c r="C48" s="1351">
        <v>10000</v>
      </c>
      <c r="D48" s="1308">
        <v>18831</v>
      </c>
      <c r="E48" s="1350">
        <v>18831</v>
      </c>
    </row>
    <row r="49" spans="1:5" ht="30">
      <c r="A49" s="377" t="s">
        <v>218</v>
      </c>
      <c r="B49" s="1095" t="s">
        <v>833</v>
      </c>
      <c r="C49" s="1351">
        <v>7500</v>
      </c>
      <c r="D49" s="1308">
        <v>38500</v>
      </c>
      <c r="E49" s="1350">
        <v>38500</v>
      </c>
    </row>
    <row r="50" spans="2:5" ht="15">
      <c r="B50" s="1095" t="s">
        <v>328</v>
      </c>
      <c r="C50" s="1351">
        <v>20000</v>
      </c>
      <c r="D50" s="1308">
        <v>20000</v>
      </c>
      <c r="E50" s="1350">
        <v>20000</v>
      </c>
    </row>
    <row r="51" spans="2:5" ht="15">
      <c r="B51" s="1095" t="s">
        <v>329</v>
      </c>
      <c r="C51" s="1351">
        <v>10000</v>
      </c>
      <c r="D51" s="1308">
        <v>8800</v>
      </c>
      <c r="E51" s="1350">
        <v>1053</v>
      </c>
    </row>
    <row r="52" spans="1:5" ht="15">
      <c r="A52" s="377" t="s">
        <v>227</v>
      </c>
      <c r="B52" s="1346" t="s">
        <v>855</v>
      </c>
      <c r="C52" s="1347">
        <v>614</v>
      </c>
      <c r="D52" s="1348">
        <v>1414</v>
      </c>
      <c r="E52" s="1344">
        <v>1433</v>
      </c>
    </row>
    <row r="53" spans="2:5" ht="15">
      <c r="B53" s="1095" t="s">
        <v>330</v>
      </c>
      <c r="C53" s="1351">
        <v>70000</v>
      </c>
      <c r="D53" s="1308">
        <v>0</v>
      </c>
      <c r="E53" s="1350">
        <v>0</v>
      </c>
    </row>
    <row r="54" spans="2:5" ht="15">
      <c r="B54" s="1346" t="s">
        <v>306</v>
      </c>
      <c r="C54" s="1347"/>
      <c r="D54" s="1348">
        <v>10</v>
      </c>
      <c r="E54" s="1344">
        <v>10</v>
      </c>
    </row>
    <row r="55" spans="2:5" ht="15">
      <c r="B55" s="1095" t="s">
        <v>839</v>
      </c>
      <c r="C55" s="1351"/>
      <c r="D55" s="1308">
        <v>15000</v>
      </c>
      <c r="E55" s="1350">
        <v>15000</v>
      </c>
    </row>
    <row r="56" spans="2:5" ht="15">
      <c r="B56" s="1095" t="s">
        <v>838</v>
      </c>
      <c r="C56" s="1351"/>
      <c r="D56" s="1308">
        <v>1412</v>
      </c>
      <c r="E56" s="1350">
        <v>1412</v>
      </c>
    </row>
    <row r="57" spans="2:5" ht="15">
      <c r="B57" s="1346" t="s">
        <v>840</v>
      </c>
      <c r="C57" s="1347"/>
      <c r="D57" s="1348">
        <v>2863</v>
      </c>
      <c r="E57" s="1344">
        <v>2863</v>
      </c>
    </row>
    <row r="58" spans="2:5" ht="15">
      <c r="B58" s="1357" t="s">
        <v>835</v>
      </c>
      <c r="C58" s="1358"/>
      <c r="D58" s="1308">
        <v>3000</v>
      </c>
      <c r="E58" s="1344">
        <v>3000</v>
      </c>
    </row>
    <row r="59" spans="2:5" ht="15">
      <c r="B59" s="1095" t="s">
        <v>834</v>
      </c>
      <c r="C59" s="1358"/>
      <c r="D59" s="1308">
        <v>10000</v>
      </c>
      <c r="E59" s="1350">
        <v>10000</v>
      </c>
    </row>
    <row r="60" spans="2:5" ht="15">
      <c r="B60" s="1095" t="s">
        <v>837</v>
      </c>
      <c r="C60" s="1358"/>
      <c r="D60" s="1308">
        <v>3000</v>
      </c>
      <c r="E60" s="1350">
        <v>3000</v>
      </c>
    </row>
    <row r="61" spans="2:5" ht="15">
      <c r="B61" s="1095" t="s">
        <v>841</v>
      </c>
      <c r="C61" s="1358"/>
      <c r="D61" s="1308">
        <v>123</v>
      </c>
      <c r="E61" s="1350">
        <v>123</v>
      </c>
    </row>
    <row r="62" spans="2:5" ht="15">
      <c r="B62" s="1095" t="s">
        <v>849</v>
      </c>
      <c r="C62" s="1358"/>
      <c r="D62" s="1308">
        <v>88</v>
      </c>
      <c r="E62" s="1350">
        <v>88</v>
      </c>
    </row>
    <row r="63" spans="2:5" ht="15">
      <c r="B63" s="1095" t="s">
        <v>850</v>
      </c>
      <c r="C63" s="1358"/>
      <c r="D63" s="1308">
        <v>24379</v>
      </c>
      <c r="E63" s="1350">
        <v>24379</v>
      </c>
    </row>
    <row r="64" spans="2:5" ht="15">
      <c r="B64" s="1095" t="s">
        <v>851</v>
      </c>
      <c r="C64" s="1358"/>
      <c r="D64" s="1308">
        <v>6048</v>
      </c>
      <c r="E64" s="1350">
        <v>6048</v>
      </c>
    </row>
    <row r="65" spans="2:5" ht="15">
      <c r="B65" s="1095" t="s">
        <v>852</v>
      </c>
      <c r="C65" s="1358"/>
      <c r="D65" s="1308">
        <v>322</v>
      </c>
      <c r="E65" s="1350">
        <v>322</v>
      </c>
    </row>
    <row r="66" spans="2:5" ht="15">
      <c r="B66" s="1357" t="s">
        <v>853</v>
      </c>
      <c r="C66" s="1358"/>
      <c r="D66" s="1308">
        <v>350</v>
      </c>
      <c r="E66" s="1359">
        <v>350</v>
      </c>
    </row>
    <row r="67" spans="2:5" ht="15">
      <c r="B67" s="1095" t="s">
        <v>854</v>
      </c>
      <c r="C67" s="1358"/>
      <c r="D67" s="1308">
        <v>436</v>
      </c>
      <c r="E67" s="1350">
        <v>436</v>
      </c>
    </row>
    <row r="68" spans="2:5" ht="15">
      <c r="B68" s="1095" t="s">
        <v>856</v>
      </c>
      <c r="C68" s="1358"/>
      <c r="D68" s="1308">
        <v>1198</v>
      </c>
      <c r="E68" s="1350">
        <v>1198</v>
      </c>
    </row>
    <row r="69" spans="2:5" ht="15">
      <c r="B69" s="1095" t="s">
        <v>932</v>
      </c>
      <c r="C69" s="1358"/>
      <c r="D69" s="1308"/>
      <c r="E69" s="1350">
        <v>1628</v>
      </c>
    </row>
    <row r="70" spans="2:5" ht="15">
      <c r="B70" s="1095" t="s">
        <v>934</v>
      </c>
      <c r="C70" s="1358"/>
      <c r="D70" s="1308"/>
      <c r="E70" s="1350">
        <v>412</v>
      </c>
    </row>
    <row r="71" spans="2:5" ht="15">
      <c r="B71" s="1095" t="s">
        <v>933</v>
      </c>
      <c r="C71" s="1358"/>
      <c r="D71" s="1308"/>
      <c r="E71" s="1350">
        <v>322</v>
      </c>
    </row>
    <row r="72" spans="2:5" ht="15.75">
      <c r="B72" s="1360" t="s">
        <v>935</v>
      </c>
      <c r="C72" s="1285"/>
      <c r="D72" s="1308"/>
      <c r="E72" s="1350">
        <v>1000</v>
      </c>
    </row>
    <row r="73" spans="2:5" ht="15">
      <c r="B73" s="1095" t="s">
        <v>906</v>
      </c>
      <c r="C73" s="1358"/>
      <c r="D73" s="1308">
        <v>370</v>
      </c>
      <c r="E73" s="1350">
        <v>370</v>
      </c>
    </row>
    <row r="74" spans="2:5" ht="15">
      <c r="B74" s="1095" t="s">
        <v>905</v>
      </c>
      <c r="C74" s="1358"/>
      <c r="D74" s="1308">
        <v>76</v>
      </c>
      <c r="E74" s="1350">
        <v>76</v>
      </c>
    </row>
    <row r="75" spans="1:5" ht="15" customHeight="1" thickBot="1">
      <c r="A75" s="377" t="s">
        <v>218</v>
      </c>
      <c r="B75" s="1361"/>
      <c r="C75" s="1362"/>
      <c r="D75" s="1323"/>
      <c r="E75" s="1363"/>
    </row>
    <row r="76" spans="1:5" ht="15" customHeight="1" thickBot="1">
      <c r="A76" s="377" t="s">
        <v>227</v>
      </c>
      <c r="B76" s="381" t="s">
        <v>77</v>
      </c>
      <c r="C76" s="1364">
        <f>C78+C91+C94</f>
        <v>11465</v>
      </c>
      <c r="D76" s="1365">
        <f>D78+D91+D94</f>
        <v>28124</v>
      </c>
      <c r="E76" s="1366">
        <f>E78+E91+E94</f>
        <v>27817</v>
      </c>
    </row>
    <row r="77" spans="1:5" ht="17.25" customHeight="1">
      <c r="A77" s="377" t="s">
        <v>227</v>
      </c>
      <c r="B77" s="1367"/>
      <c r="C77" s="1368"/>
      <c r="D77" s="1369"/>
      <c r="E77" s="1370"/>
    </row>
    <row r="78" spans="1:5" ht="14.25" customHeight="1">
      <c r="A78" s="377" t="s">
        <v>227</v>
      </c>
      <c r="B78" s="1371" t="s">
        <v>237</v>
      </c>
      <c r="C78" s="1372">
        <f aca="true" t="shared" si="0" ref="C78">SUM(C79:C89)</f>
        <v>10715</v>
      </c>
      <c r="D78" s="1373">
        <f>SUM(D79:D89)</f>
        <v>27374</v>
      </c>
      <c r="E78" s="1374">
        <f>SUM(E79:E89)</f>
        <v>27067</v>
      </c>
    </row>
    <row r="79" spans="1:5" ht="15">
      <c r="A79" s="377" t="s">
        <v>218</v>
      </c>
      <c r="B79" s="1095" t="s">
        <v>331</v>
      </c>
      <c r="C79" s="1351">
        <v>3000</v>
      </c>
      <c r="D79" s="1308">
        <v>3000</v>
      </c>
      <c r="E79" s="1375">
        <v>2675</v>
      </c>
    </row>
    <row r="80" spans="1:5" ht="15">
      <c r="A80" s="377" t="s">
        <v>218</v>
      </c>
      <c r="B80" s="1342" t="s">
        <v>332</v>
      </c>
      <c r="C80" s="1356">
        <v>500</v>
      </c>
      <c r="D80" s="1319">
        <v>540</v>
      </c>
      <c r="E80" s="1376">
        <v>555</v>
      </c>
    </row>
    <row r="81" spans="1:5" ht="15">
      <c r="A81" s="377" t="s">
        <v>223</v>
      </c>
      <c r="B81" s="1342" t="s">
        <v>333</v>
      </c>
      <c r="C81" s="1351">
        <v>150</v>
      </c>
      <c r="D81" s="1308">
        <v>150</v>
      </c>
      <c r="E81" s="1375">
        <v>150</v>
      </c>
    </row>
    <row r="82" spans="1:5" ht="15">
      <c r="A82" s="377" t="s">
        <v>218</v>
      </c>
      <c r="B82" s="1342" t="s">
        <v>334</v>
      </c>
      <c r="C82" s="1351">
        <v>150</v>
      </c>
      <c r="D82" s="1308">
        <v>150</v>
      </c>
      <c r="E82" s="1375">
        <v>150</v>
      </c>
    </row>
    <row r="83" spans="2:5" ht="15">
      <c r="B83" s="1095" t="s">
        <v>335</v>
      </c>
      <c r="C83" s="1351">
        <v>1270</v>
      </c>
      <c r="D83" s="1308">
        <v>1270</v>
      </c>
      <c r="E83" s="1375">
        <v>1270</v>
      </c>
    </row>
    <row r="84" spans="2:5" ht="15">
      <c r="B84" s="1095" t="s">
        <v>336</v>
      </c>
      <c r="C84" s="1351">
        <v>2045</v>
      </c>
      <c r="D84" s="1308">
        <v>1390</v>
      </c>
      <c r="E84" s="1375">
        <v>3390</v>
      </c>
    </row>
    <row r="85" spans="1:5" ht="15">
      <c r="A85" s="377" t="s">
        <v>218</v>
      </c>
      <c r="B85" s="1095" t="s">
        <v>337</v>
      </c>
      <c r="C85" s="1351">
        <v>100</v>
      </c>
      <c r="D85" s="1308">
        <v>465</v>
      </c>
      <c r="E85" s="1375">
        <v>465</v>
      </c>
    </row>
    <row r="86" spans="2:5" ht="15">
      <c r="B86" s="1342" t="s">
        <v>338</v>
      </c>
      <c r="C86" s="1356">
        <v>3500</v>
      </c>
      <c r="D86" s="1319">
        <v>3500</v>
      </c>
      <c r="E86" s="1376">
        <v>1500</v>
      </c>
    </row>
    <row r="87" spans="2:5" ht="15">
      <c r="B87" s="1090" t="s">
        <v>866</v>
      </c>
      <c r="C87" s="1356"/>
      <c r="D87" s="1319">
        <v>16254</v>
      </c>
      <c r="E87" s="1376">
        <v>16254</v>
      </c>
    </row>
    <row r="88" spans="2:5" ht="15">
      <c r="B88" s="1090" t="s">
        <v>939</v>
      </c>
      <c r="C88" s="1356"/>
      <c r="D88" s="1319"/>
      <c r="E88" s="1376">
        <v>3</v>
      </c>
    </row>
    <row r="89" spans="2:5" ht="15">
      <c r="B89" s="1090" t="s">
        <v>871</v>
      </c>
      <c r="C89" s="1356"/>
      <c r="D89" s="1319">
        <v>655</v>
      </c>
      <c r="E89" s="1376">
        <v>655</v>
      </c>
    </row>
    <row r="90" spans="2:5" ht="15">
      <c r="B90" s="1090"/>
      <c r="C90" s="1356"/>
      <c r="D90" s="1319"/>
      <c r="E90" s="1376"/>
    </row>
    <row r="91" spans="1:5" ht="15">
      <c r="A91" s="377" t="s">
        <v>218</v>
      </c>
      <c r="B91" s="1371" t="s">
        <v>243</v>
      </c>
      <c r="C91" s="1377">
        <f>C92</f>
        <v>150</v>
      </c>
      <c r="D91" s="1378">
        <f aca="true" t="shared" si="1" ref="D91:E91">D92</f>
        <v>150</v>
      </c>
      <c r="E91" s="1379">
        <f t="shared" si="1"/>
        <v>150</v>
      </c>
    </row>
    <row r="92" spans="2:5" ht="15">
      <c r="B92" s="1342" t="s">
        <v>339</v>
      </c>
      <c r="C92" s="1356">
        <v>150</v>
      </c>
      <c r="D92" s="1319">
        <v>150</v>
      </c>
      <c r="E92" s="1376">
        <v>150</v>
      </c>
    </row>
    <row r="93" spans="2:5" ht="15">
      <c r="B93" s="1342"/>
      <c r="C93" s="1356"/>
      <c r="D93" s="1319"/>
      <c r="E93" s="1376"/>
    </row>
    <row r="94" spans="2:5" ht="15">
      <c r="B94" s="1371" t="s">
        <v>240</v>
      </c>
      <c r="C94" s="1380">
        <f>C95</f>
        <v>600</v>
      </c>
      <c r="D94" s="1381">
        <f aca="true" t="shared" si="2" ref="D94:E94">D95</f>
        <v>600</v>
      </c>
      <c r="E94" s="1374">
        <f t="shared" si="2"/>
        <v>600</v>
      </c>
    </row>
    <row r="95" spans="2:5" ht="15">
      <c r="B95" s="1342" t="s">
        <v>339</v>
      </c>
      <c r="C95" s="1343">
        <v>600</v>
      </c>
      <c r="D95" s="1307">
        <v>600</v>
      </c>
      <c r="E95" s="1376">
        <v>600</v>
      </c>
    </row>
    <row r="96" spans="2:5" ht="15.75" thickBot="1">
      <c r="B96" s="1382"/>
      <c r="C96" s="1383"/>
      <c r="D96" s="1331"/>
      <c r="E96" s="1384"/>
    </row>
    <row r="97" spans="2:6" ht="15.75" thickBot="1">
      <c r="B97" s="381" t="s">
        <v>340</v>
      </c>
      <c r="C97" s="1336">
        <f>SUM(C98:C153)</f>
        <v>19052</v>
      </c>
      <c r="D97" s="1385">
        <f aca="true" t="shared" si="3" ref="D97:E97">SUM(D98:D153)</f>
        <v>49115</v>
      </c>
      <c r="E97" s="1386">
        <f t="shared" si="3"/>
        <v>50636</v>
      </c>
      <c r="F97" s="1387"/>
    </row>
    <row r="98" spans="2:6" ht="16.5" customHeight="1">
      <c r="B98" s="1388" t="s">
        <v>341</v>
      </c>
      <c r="C98" s="1338">
        <v>100</v>
      </c>
      <c r="D98" s="1327">
        <v>100</v>
      </c>
      <c r="E98" s="1389">
        <v>100</v>
      </c>
      <c r="F98" s="1390"/>
    </row>
    <row r="99" spans="2:6" ht="15">
      <c r="B99" s="1342" t="s">
        <v>342</v>
      </c>
      <c r="C99" s="1343">
        <v>520</v>
      </c>
      <c r="D99" s="1307">
        <v>520</v>
      </c>
      <c r="E99" s="1344">
        <v>520</v>
      </c>
      <c r="F99" s="1390"/>
    </row>
    <row r="100" spans="2:6" ht="15">
      <c r="B100" s="1342" t="s">
        <v>343</v>
      </c>
      <c r="C100" s="1343">
        <v>280</v>
      </c>
      <c r="D100" s="1307">
        <v>280</v>
      </c>
      <c r="E100" s="1344">
        <v>280</v>
      </c>
      <c r="F100" s="1390"/>
    </row>
    <row r="101" spans="2:6" ht="15">
      <c r="B101" s="1342" t="s">
        <v>907</v>
      </c>
      <c r="C101" s="1343"/>
      <c r="D101" s="1307">
        <v>3000</v>
      </c>
      <c r="E101" s="1344">
        <v>3000</v>
      </c>
      <c r="F101" s="1390"/>
    </row>
    <row r="102" spans="2:6" ht="15">
      <c r="B102" s="1342" t="s">
        <v>908</v>
      </c>
      <c r="C102" s="1343"/>
      <c r="D102" s="1307">
        <v>2000</v>
      </c>
      <c r="E102" s="1344">
        <v>2000</v>
      </c>
      <c r="F102" s="1390"/>
    </row>
    <row r="103" spans="2:6" ht="15">
      <c r="B103" s="1342" t="s">
        <v>344</v>
      </c>
      <c r="C103" s="1343">
        <v>70</v>
      </c>
      <c r="D103" s="1307">
        <v>70</v>
      </c>
      <c r="E103" s="1344">
        <v>70</v>
      </c>
      <c r="F103" s="1390"/>
    </row>
    <row r="104" spans="2:6" ht="15">
      <c r="B104" s="1342" t="s">
        <v>345</v>
      </c>
      <c r="C104" s="1343">
        <v>80</v>
      </c>
      <c r="D104" s="1307">
        <v>104</v>
      </c>
      <c r="E104" s="1344">
        <v>104</v>
      </c>
      <c r="F104" s="1390"/>
    </row>
    <row r="105" spans="2:6" ht="15">
      <c r="B105" s="1342" t="s">
        <v>909</v>
      </c>
      <c r="C105" s="1343"/>
      <c r="D105" s="1307">
        <v>126</v>
      </c>
      <c r="E105" s="1344">
        <v>126</v>
      </c>
      <c r="F105" s="1390"/>
    </row>
    <row r="106" spans="2:6" ht="15">
      <c r="B106" s="1342" t="s">
        <v>346</v>
      </c>
      <c r="C106" s="1343">
        <v>20</v>
      </c>
      <c r="D106" s="1307">
        <v>20</v>
      </c>
      <c r="E106" s="1344">
        <v>20</v>
      </c>
      <c r="F106" s="1390"/>
    </row>
    <row r="107" spans="2:6" ht="15.75" customHeight="1">
      <c r="B107" s="1342" t="s">
        <v>347</v>
      </c>
      <c r="C107" s="1343">
        <v>150</v>
      </c>
      <c r="D107" s="1307">
        <v>150</v>
      </c>
      <c r="E107" s="1344">
        <v>150</v>
      </c>
      <c r="F107" s="1390"/>
    </row>
    <row r="108" spans="2:6" ht="18" customHeight="1">
      <c r="B108" s="1342" t="s">
        <v>348</v>
      </c>
      <c r="C108" s="1343">
        <v>200</v>
      </c>
      <c r="D108" s="1307">
        <v>200</v>
      </c>
      <c r="E108" s="1344">
        <v>200</v>
      </c>
      <c r="F108" s="1390"/>
    </row>
    <row r="109" spans="2:6" ht="15.75" customHeight="1">
      <c r="B109" s="1342" t="s">
        <v>349</v>
      </c>
      <c r="C109" s="1343">
        <v>150</v>
      </c>
      <c r="D109" s="1307">
        <v>150</v>
      </c>
      <c r="E109" s="1344">
        <v>150</v>
      </c>
      <c r="F109" s="1390"/>
    </row>
    <row r="110" spans="2:6" ht="15">
      <c r="B110" s="1342" t="s">
        <v>350</v>
      </c>
      <c r="C110" s="1343">
        <v>72</v>
      </c>
      <c r="D110" s="1307">
        <v>72</v>
      </c>
      <c r="E110" s="1344">
        <v>72</v>
      </c>
      <c r="F110" s="1390"/>
    </row>
    <row r="111" spans="2:6" ht="15">
      <c r="B111" s="1342" t="s">
        <v>351</v>
      </c>
      <c r="C111" s="1343">
        <v>100</v>
      </c>
      <c r="D111" s="1307">
        <v>100</v>
      </c>
      <c r="E111" s="1344">
        <v>100</v>
      </c>
      <c r="F111" s="1390"/>
    </row>
    <row r="112" spans="2:6" ht="15">
      <c r="B112" s="1342" t="s">
        <v>352</v>
      </c>
      <c r="C112" s="1343">
        <v>470</v>
      </c>
      <c r="D112" s="1307">
        <v>470</v>
      </c>
      <c r="E112" s="1344">
        <v>470</v>
      </c>
      <c r="F112" s="1390"/>
    </row>
    <row r="113" spans="2:6" ht="15">
      <c r="B113" s="1342" t="s">
        <v>875</v>
      </c>
      <c r="C113" s="1343"/>
      <c r="D113" s="1307">
        <v>500</v>
      </c>
      <c r="E113" s="1344">
        <v>500</v>
      </c>
      <c r="F113" s="1390"/>
    </row>
    <row r="114" spans="2:6" ht="15">
      <c r="B114" s="1342" t="s">
        <v>353</v>
      </c>
      <c r="C114" s="1343">
        <v>150</v>
      </c>
      <c r="D114" s="1307">
        <v>210</v>
      </c>
      <c r="E114" s="1344">
        <v>210</v>
      </c>
      <c r="F114" s="1390"/>
    </row>
    <row r="115" spans="2:6" ht="15">
      <c r="B115" s="1342" t="s">
        <v>354</v>
      </c>
      <c r="C115" s="1343">
        <v>50</v>
      </c>
      <c r="D115" s="1307">
        <v>50</v>
      </c>
      <c r="E115" s="1344">
        <v>50</v>
      </c>
      <c r="F115" s="1390"/>
    </row>
    <row r="116" spans="2:6" ht="15">
      <c r="B116" s="1342" t="s">
        <v>355</v>
      </c>
      <c r="C116" s="1343">
        <v>294</v>
      </c>
      <c r="D116" s="1307">
        <v>294</v>
      </c>
      <c r="E116" s="1344">
        <v>294</v>
      </c>
      <c r="F116" s="1390"/>
    </row>
    <row r="117" spans="2:6" ht="15">
      <c r="B117" s="1342" t="s">
        <v>356</v>
      </c>
      <c r="C117" s="1343">
        <v>200</v>
      </c>
      <c r="D117" s="1307">
        <v>200</v>
      </c>
      <c r="E117" s="1344">
        <v>200</v>
      </c>
      <c r="F117" s="1390"/>
    </row>
    <row r="118" spans="2:6" ht="15">
      <c r="B118" s="1391" t="s">
        <v>357</v>
      </c>
      <c r="C118" s="1343">
        <v>100</v>
      </c>
      <c r="D118" s="1307">
        <v>100</v>
      </c>
      <c r="E118" s="1344">
        <v>100</v>
      </c>
      <c r="F118" s="1390"/>
    </row>
    <row r="119" spans="2:6" ht="15">
      <c r="B119" s="1342" t="s">
        <v>358</v>
      </c>
      <c r="C119" s="1343">
        <v>30</v>
      </c>
      <c r="D119" s="1307">
        <v>98</v>
      </c>
      <c r="E119" s="1344">
        <v>98</v>
      </c>
      <c r="F119" s="1390"/>
    </row>
    <row r="120" spans="2:6" ht="15">
      <c r="B120" s="1342" t="s">
        <v>359</v>
      </c>
      <c r="C120" s="1343">
        <v>80</v>
      </c>
      <c r="D120" s="1307">
        <v>30</v>
      </c>
      <c r="E120" s="1344">
        <v>30</v>
      </c>
      <c r="F120" s="1390"/>
    </row>
    <row r="121" spans="2:6" ht="15">
      <c r="B121" s="1342" t="s">
        <v>876</v>
      </c>
      <c r="C121" s="1343"/>
      <c r="D121" s="1307">
        <v>99</v>
      </c>
      <c r="E121" s="1344">
        <v>99</v>
      </c>
      <c r="F121" s="1390"/>
    </row>
    <row r="122" spans="2:6" ht="15">
      <c r="B122" s="1342" t="s">
        <v>988</v>
      </c>
      <c r="C122" s="1343"/>
      <c r="D122" s="1307">
        <v>0</v>
      </c>
      <c r="E122" s="1344">
        <v>125</v>
      </c>
      <c r="F122" s="1390"/>
    </row>
    <row r="123" spans="2:6" ht="15">
      <c r="B123" s="1342" t="s">
        <v>910</v>
      </c>
      <c r="C123" s="1343"/>
      <c r="D123" s="1307">
        <v>848</v>
      </c>
      <c r="E123" s="1344">
        <v>243</v>
      </c>
      <c r="F123" s="1390"/>
    </row>
    <row r="124" spans="2:6" ht="15">
      <c r="B124" s="1342" t="s">
        <v>360</v>
      </c>
      <c r="C124" s="1343">
        <v>150</v>
      </c>
      <c r="D124" s="1307">
        <v>150</v>
      </c>
      <c r="E124" s="1344">
        <v>150</v>
      </c>
      <c r="F124" s="1390"/>
    </row>
    <row r="125" spans="2:6" ht="15.75" customHeight="1">
      <c r="B125" s="1342" t="s">
        <v>361</v>
      </c>
      <c r="C125" s="1343">
        <v>80</v>
      </c>
      <c r="D125" s="1307">
        <v>80</v>
      </c>
      <c r="E125" s="1344">
        <v>80</v>
      </c>
      <c r="F125" s="1390"/>
    </row>
    <row r="126" spans="2:6" ht="15">
      <c r="B126" s="1342" t="s">
        <v>362</v>
      </c>
      <c r="C126" s="1343">
        <v>600</v>
      </c>
      <c r="D126" s="1307">
        <v>600</v>
      </c>
      <c r="E126" s="1344">
        <v>600</v>
      </c>
      <c r="F126" s="1390"/>
    </row>
    <row r="127" spans="2:6" ht="15">
      <c r="B127" s="1342" t="s">
        <v>877</v>
      </c>
      <c r="C127" s="1343"/>
      <c r="D127" s="1307">
        <v>1450</v>
      </c>
      <c r="E127" s="1344">
        <v>1450</v>
      </c>
      <c r="F127" s="1390"/>
    </row>
    <row r="128" spans="2:6" ht="15">
      <c r="B128" s="1342" t="s">
        <v>363</v>
      </c>
      <c r="C128" s="1343">
        <v>635</v>
      </c>
      <c r="D128" s="1307">
        <v>635</v>
      </c>
      <c r="E128" s="1344">
        <v>635</v>
      </c>
      <c r="F128" s="1390"/>
    </row>
    <row r="129" spans="2:6" ht="15">
      <c r="B129" s="1342" t="s">
        <v>878</v>
      </c>
      <c r="C129" s="1343"/>
      <c r="D129" s="1307">
        <v>349</v>
      </c>
      <c r="E129" s="1344">
        <v>349</v>
      </c>
      <c r="F129" s="1390"/>
    </row>
    <row r="130" spans="2:6" ht="15">
      <c r="B130" s="1391" t="s">
        <v>879</v>
      </c>
      <c r="C130" s="1343"/>
      <c r="D130" s="1307">
        <v>328</v>
      </c>
      <c r="E130" s="1344">
        <v>328</v>
      </c>
      <c r="F130" s="1390"/>
    </row>
    <row r="131" spans="2:6" ht="15">
      <c r="B131" s="1342" t="s">
        <v>364</v>
      </c>
      <c r="C131" s="1343">
        <v>200</v>
      </c>
      <c r="D131" s="1307">
        <v>200</v>
      </c>
      <c r="E131" s="1344">
        <v>230</v>
      </c>
      <c r="F131" s="1390"/>
    </row>
    <row r="132" spans="2:6" ht="15" customHeight="1">
      <c r="B132" s="1342" t="s">
        <v>365</v>
      </c>
      <c r="C132" s="1343">
        <v>134</v>
      </c>
      <c r="D132" s="1307">
        <v>134</v>
      </c>
      <c r="E132" s="1344">
        <v>0</v>
      </c>
      <c r="F132" s="1390"/>
    </row>
    <row r="133" spans="2:6" ht="15" customHeight="1">
      <c r="B133" s="1342" t="s">
        <v>989</v>
      </c>
      <c r="C133" s="1343"/>
      <c r="D133" s="1307">
        <v>0</v>
      </c>
      <c r="E133" s="1344">
        <v>62</v>
      </c>
      <c r="F133" s="1390"/>
    </row>
    <row r="134" spans="2:6" ht="15">
      <c r="B134" s="1342" t="s">
        <v>366</v>
      </c>
      <c r="C134" s="1343">
        <v>240</v>
      </c>
      <c r="D134" s="1307">
        <v>240</v>
      </c>
      <c r="E134" s="1344">
        <v>240</v>
      </c>
      <c r="F134" s="1390"/>
    </row>
    <row r="135" spans="2:6" ht="15">
      <c r="B135" s="1342" t="s">
        <v>367</v>
      </c>
      <c r="C135" s="1343">
        <v>50</v>
      </c>
      <c r="D135" s="1307">
        <v>50</v>
      </c>
      <c r="E135" s="1344">
        <v>0</v>
      </c>
      <c r="F135" s="1390"/>
    </row>
    <row r="136" spans="2:6" ht="15" customHeight="1">
      <c r="B136" s="1342" t="s">
        <v>368</v>
      </c>
      <c r="C136" s="1343">
        <v>640</v>
      </c>
      <c r="D136" s="1307">
        <v>640</v>
      </c>
      <c r="E136" s="1344">
        <v>310</v>
      </c>
      <c r="F136" s="1390"/>
    </row>
    <row r="137" spans="2:6" ht="15">
      <c r="B137" s="1342" t="s">
        <v>369</v>
      </c>
      <c r="C137" s="1343">
        <v>50</v>
      </c>
      <c r="D137" s="1307">
        <v>50</v>
      </c>
      <c r="E137" s="1344">
        <v>0</v>
      </c>
      <c r="F137" s="1390"/>
    </row>
    <row r="138" spans="2:6" ht="15">
      <c r="B138" s="1342" t="s">
        <v>370</v>
      </c>
      <c r="C138" s="1343">
        <v>200</v>
      </c>
      <c r="D138" s="1307">
        <v>200</v>
      </c>
      <c r="E138" s="1344">
        <v>0</v>
      </c>
      <c r="F138" s="1390"/>
    </row>
    <row r="139" spans="2:6" ht="15">
      <c r="B139" s="1342" t="s">
        <v>371</v>
      </c>
      <c r="C139" s="1343">
        <v>120</v>
      </c>
      <c r="D139" s="1307">
        <v>120</v>
      </c>
      <c r="E139" s="1344">
        <v>107</v>
      </c>
      <c r="F139" s="1390"/>
    </row>
    <row r="140" spans="2:6" ht="15">
      <c r="B140" s="1342" t="s">
        <v>372</v>
      </c>
      <c r="C140" s="1343">
        <v>1000</v>
      </c>
      <c r="D140" s="1307">
        <v>1000</v>
      </c>
      <c r="E140" s="1344">
        <v>1000</v>
      </c>
      <c r="F140" s="1390"/>
    </row>
    <row r="141" spans="2:6" ht="15">
      <c r="B141" s="1342" t="s">
        <v>373</v>
      </c>
      <c r="C141" s="1343">
        <v>1500</v>
      </c>
      <c r="D141" s="1307">
        <v>1745</v>
      </c>
      <c r="E141" s="1344">
        <v>1745</v>
      </c>
      <c r="F141" s="1390"/>
    </row>
    <row r="142" spans="2:6" ht="15">
      <c r="B142" s="1342" t="s">
        <v>880</v>
      </c>
      <c r="C142" s="1343">
        <v>600</v>
      </c>
      <c r="D142" s="1307">
        <v>600</v>
      </c>
      <c r="E142" s="1344">
        <v>600</v>
      </c>
      <c r="F142" s="1390"/>
    </row>
    <row r="143" spans="2:6" ht="15">
      <c r="B143" s="1342" t="s">
        <v>374</v>
      </c>
      <c r="C143" s="1343">
        <v>1500</v>
      </c>
      <c r="D143" s="1307">
        <v>1500</v>
      </c>
      <c r="E143" s="1344">
        <v>1500</v>
      </c>
      <c r="F143" s="1390"/>
    </row>
    <row r="144" spans="2:6" ht="13.5" customHeight="1">
      <c r="B144" s="1342" t="s">
        <v>375</v>
      </c>
      <c r="C144" s="1343">
        <v>1500</v>
      </c>
      <c r="D144" s="1307">
        <v>1500</v>
      </c>
      <c r="E144" s="1344">
        <v>1500</v>
      </c>
      <c r="F144" s="1390"/>
    </row>
    <row r="145" spans="2:6" ht="13.5" customHeight="1">
      <c r="B145" s="1342" t="s">
        <v>376</v>
      </c>
      <c r="C145" s="1343">
        <v>500</v>
      </c>
      <c r="D145" s="1307">
        <v>500</v>
      </c>
      <c r="E145" s="1344">
        <v>500</v>
      </c>
      <c r="F145" s="1390"/>
    </row>
    <row r="146" spans="2:6" ht="13.5" customHeight="1">
      <c r="B146" s="1342" t="s">
        <v>377</v>
      </c>
      <c r="C146" s="1343">
        <v>500</v>
      </c>
      <c r="D146" s="1307">
        <v>500</v>
      </c>
      <c r="E146" s="1344">
        <v>500</v>
      </c>
      <c r="F146" s="1390"/>
    </row>
    <row r="147" spans="2:6" ht="13.5" customHeight="1">
      <c r="B147" s="1342" t="s">
        <v>378</v>
      </c>
      <c r="C147" s="1343">
        <v>1000</v>
      </c>
      <c r="D147" s="1307">
        <v>1000</v>
      </c>
      <c r="E147" s="1344">
        <v>1000</v>
      </c>
      <c r="F147" s="1390"/>
    </row>
    <row r="148" spans="2:6" ht="13.5" customHeight="1">
      <c r="B148" s="1342" t="s">
        <v>379</v>
      </c>
      <c r="C148" s="1343">
        <v>3187</v>
      </c>
      <c r="D148" s="1307">
        <v>3187</v>
      </c>
      <c r="E148" s="1344">
        <v>3187</v>
      </c>
      <c r="F148" s="1390"/>
    </row>
    <row r="149" spans="2:6" ht="13.5" customHeight="1">
      <c r="B149" s="1342" t="s">
        <v>881</v>
      </c>
      <c r="C149" s="1343"/>
      <c r="D149" s="1307">
        <v>7800</v>
      </c>
      <c r="E149" s="1344">
        <v>7800</v>
      </c>
      <c r="F149" s="1390"/>
    </row>
    <row r="150" spans="2:6" ht="13.5" customHeight="1">
      <c r="B150" s="1342" t="s">
        <v>911</v>
      </c>
      <c r="C150" s="1343"/>
      <c r="D150" s="1307">
        <v>12000</v>
      </c>
      <c r="E150" s="1344">
        <v>12000</v>
      </c>
      <c r="F150" s="1390"/>
    </row>
    <row r="151" spans="2:6" ht="13.5" customHeight="1">
      <c r="B151" s="1342" t="s">
        <v>990</v>
      </c>
      <c r="C151" s="1343"/>
      <c r="D151" s="1307">
        <v>0</v>
      </c>
      <c r="E151" s="1344">
        <v>2500</v>
      </c>
      <c r="F151" s="1390"/>
    </row>
    <row r="152" spans="2:6" ht="13.5" customHeight="1">
      <c r="B152" s="1342" t="s">
        <v>380</v>
      </c>
      <c r="C152" s="1343">
        <v>1000</v>
      </c>
      <c r="D152" s="1307">
        <v>1925</v>
      </c>
      <c r="E152" s="1344">
        <v>2111</v>
      </c>
      <c r="F152" s="1390"/>
    </row>
    <row r="153" spans="2:6" ht="13.5" customHeight="1">
      <c r="B153" s="1342" t="s">
        <v>381</v>
      </c>
      <c r="C153" s="1343">
        <v>550</v>
      </c>
      <c r="D153" s="1307">
        <v>841</v>
      </c>
      <c r="E153" s="1344">
        <v>841</v>
      </c>
      <c r="F153" s="1390"/>
    </row>
    <row r="154" spans="2:6" ht="13.5" customHeight="1" thickBot="1">
      <c r="B154" s="1382"/>
      <c r="C154" s="1383"/>
      <c r="D154" s="1331"/>
      <c r="E154" s="1384"/>
      <c r="F154" s="1390"/>
    </row>
    <row r="155" spans="2:6" ht="13.5" customHeight="1" thickBot="1">
      <c r="B155" s="1335" t="s">
        <v>70</v>
      </c>
      <c r="C155" s="1336">
        <f>C4+C76+C97</f>
        <v>1863729</v>
      </c>
      <c r="D155" s="1385">
        <f>D4+D76+D97</f>
        <v>3115837</v>
      </c>
      <c r="E155" s="1392">
        <f>E4+E76+E97</f>
        <v>3202919</v>
      </c>
      <c r="F155" s="1387"/>
    </row>
    <row r="156" ht="13.5" customHeight="1">
      <c r="B156" s="1393"/>
    </row>
    <row r="157" spans="2:4" ht="13.5" customHeight="1">
      <c r="B157" s="1423" t="s">
        <v>995</v>
      </c>
      <c r="C157" s="305"/>
      <c r="D157" s="305"/>
    </row>
    <row r="158" spans="2:4" ht="13.5" customHeight="1">
      <c r="B158" s="1423" t="s">
        <v>996</v>
      </c>
      <c r="C158" s="305"/>
      <c r="D158" s="305"/>
    </row>
    <row r="159" spans="2:4" ht="13.5" customHeight="1">
      <c r="B159" s="1423" t="s">
        <v>997</v>
      </c>
      <c r="C159" s="305"/>
      <c r="D159" s="305"/>
    </row>
    <row r="160" spans="2:4" ht="13.5" customHeight="1">
      <c r="B160" s="1423" t="s">
        <v>998</v>
      </c>
      <c r="C160" s="305"/>
      <c r="D160" s="305"/>
    </row>
    <row r="161" spans="2:4" ht="13.5" customHeight="1">
      <c r="B161" s="1423" t="s">
        <v>999</v>
      </c>
      <c r="C161" s="305"/>
      <c r="D161" s="305"/>
    </row>
    <row r="162" ht="13.5" customHeight="1">
      <c r="B162" s="1394"/>
    </row>
    <row r="163" ht="13.5" customHeight="1">
      <c r="B163" s="1394"/>
    </row>
    <row r="164" ht="13.5" customHeight="1">
      <c r="B164" s="1394"/>
    </row>
    <row r="165" ht="13.5" customHeight="1">
      <c r="B165" s="1394"/>
    </row>
    <row r="166" ht="13.5" customHeight="1">
      <c r="B166" s="1394"/>
    </row>
    <row r="167" ht="13.5" customHeight="1">
      <c r="B167" s="1394"/>
    </row>
    <row r="168" ht="13.5" customHeight="1">
      <c r="B168" s="1394"/>
    </row>
    <row r="169" ht="13.5" customHeight="1">
      <c r="B169" s="1394"/>
    </row>
    <row r="170" ht="13.5" customHeight="1">
      <c r="B170" s="1394"/>
    </row>
    <row r="171" ht="13.5" customHeight="1">
      <c r="B171" s="1394"/>
    </row>
    <row r="172" ht="13.5" customHeight="1">
      <c r="B172" s="1394"/>
    </row>
    <row r="173" ht="13.5" customHeight="1">
      <c r="B173" s="1395"/>
    </row>
    <row r="174" ht="15">
      <c r="B174" s="426"/>
    </row>
    <row r="175" ht="15">
      <c r="B175" s="426"/>
    </row>
    <row r="176" ht="15">
      <c r="B176" s="1393"/>
    </row>
    <row r="177" ht="15">
      <c r="B177" s="1393"/>
    </row>
    <row r="178" ht="15">
      <c r="B178" s="1393"/>
    </row>
    <row r="179" ht="15">
      <c r="B179" s="1396"/>
    </row>
    <row r="180" ht="15">
      <c r="B180" s="426"/>
    </row>
  </sheetData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&amp;L&amp;"Times New Roman,Normál"&amp;10 7. melléklet 1,2,3,4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Kerényi Zsuzsanna</dc:creator>
  <cp:keywords/>
  <dc:description/>
  <cp:lastModifiedBy>sarkozyklara</cp:lastModifiedBy>
  <cp:lastPrinted>2019-02-28T14:38:30Z</cp:lastPrinted>
  <dcterms:created xsi:type="dcterms:W3CDTF">2018-06-06T07:42:41Z</dcterms:created>
  <dcterms:modified xsi:type="dcterms:W3CDTF">2019-02-28T14:39:12Z</dcterms:modified>
  <cp:category/>
  <cp:version/>
  <cp:contentType/>
  <cp:contentStatus/>
</cp:coreProperties>
</file>