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activeTab="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  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c">#REF!</definedName>
    <definedName name="Excel_BuiltIn__FilterDatabase_5" localSheetId="10">#REF!</definedName>
    <definedName name="Excel_BuiltIn__FilterDatabase_5" localSheetId="11">'[8]4. sz. melléklet'!#REF!</definedName>
    <definedName name="Excel_BuiltIn__FilterDatabase_5" localSheetId="12">'[8]4.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'[8]4. sz. melléklet'!#REF!</definedName>
    <definedName name="Excel_BuiltIn__FilterDatabase_5" localSheetId="9">'[8]4.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5">'5. sz. melléklet - Közös Hiv.'!$6:$8</definedName>
    <definedName name="_xlnm.Print_Titles" localSheetId="4">'5. sz. melléklet - Önkormányzat'!$4:$6</definedName>
    <definedName name="_xlnm.Print_Titles" localSheetId="8">'8. sz. melléklet'!$4:$4</definedName>
    <definedName name="_xlnm.Print_Titles" localSheetId="9">'9. sz. melléklet'!$4:$4</definedName>
    <definedName name="_xlnm.Print_Area" localSheetId="0">'1. sz. melléklet'!$A$1:$J$65</definedName>
    <definedName name="_xlnm.Print_Area" localSheetId="10">'10. sz. melléklet'!$A$1:$G$63</definedName>
    <definedName name="_xlnm.Print_Area" localSheetId="11">'11. sz. melléklet'!$B$1:$E$131</definedName>
    <definedName name="_xlnm.Print_Area" localSheetId="12">'12. sz. melléklet'!$A$1:$D$126</definedName>
    <definedName name="_xlnm.Print_Area" localSheetId="13">'13. sz. melléklet'!$A$1:$D$41</definedName>
    <definedName name="_xlnm.Print_Area" localSheetId="14">'14. sz. melléklet'!$A$1:$L$36</definedName>
    <definedName name="_xlnm.Print_Area" localSheetId="16">'16. sz. melléklet'!$A$1:$Q$60</definedName>
    <definedName name="_xlnm.Print_Area" localSheetId="18">'18. sz. melléklet'!$A$1:$D$38</definedName>
    <definedName name="_xlnm.Print_Area" localSheetId="1">'2. sz. melléklet'!$A$1:$H$76</definedName>
    <definedName name="_xlnm.Print_Area" localSheetId="2">'3. sz. melléklet'!$A$1:$P$61</definedName>
    <definedName name="_xlnm.Print_Area" localSheetId="3">'4.sz. melléklet'!$C$1:$R$35</definedName>
    <definedName name="_xlnm.Print_Area" localSheetId="4">'5. sz. melléklet - Önkormányzat'!$A$1:$S$304</definedName>
    <definedName name="_xlnm.Print_Area" localSheetId="7">'7. sz. melléklet'!$A$1:$O$47</definedName>
    <definedName name="_xlnm.Print_Area" localSheetId="8">'8. sz. melléklet'!$B$1:$K$123</definedName>
    <definedName name="_xlnm.Print_Area" localSheetId="9">'9. sz. melléklet'!$B$1:$I$72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<sst xmlns="http://schemas.openxmlformats.org/spreadsheetml/2006/main" count="2802" uniqueCount="1054">
  <si>
    <t>Felhalmozási 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</si>
  <si>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</si>
  <si>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</si>
  <si>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</si>
  <si>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</si>
  <si>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</si>
  <si>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</si>
  <si>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</si>
  <si>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</si>
  <si>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</si>
  <si>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</si>
  <si>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</si>
  <si>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</si>
  <si>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</si>
  <si>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</si>
  <si>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</si>
  <si>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E Ft-ban</t>
  </si>
  <si>
    <t>011130</t>
  </si>
  <si>
    <t>Bláthy O. u. támfal építés</t>
  </si>
  <si>
    <t>Kossuth téren közterületi szobor felállítása NKA - AN2000N6284</t>
  </si>
  <si>
    <t>Tata Város Önkormányzatának szervezetfejlesztése ÁROP – 1.A.5-2013-2013-0003</t>
  </si>
  <si>
    <t>Közigazgatási partnerség építése Tatán ÁROP – 1.A.6-2013-2013-0007</t>
  </si>
  <si>
    <t>Tatai Közös Önkormányzati Hivatal 2015. évi költségvetési terve (kormányzati funkciók és kiemelt előirányzatok szerinti bontásban) ( E Ft-ban)</t>
  </si>
  <si>
    <t>Tata Város Önkormányzat 2015. évi költségvetési terve (kormányzati funkciók és kiemelt előirányzatok szerinti bontásban) ( E Ft-ban)</t>
  </si>
  <si>
    <t xml:space="preserve"> Tata Város Önkormányzatának 2015. évi közgazdasági mérlege (E Ft-ban)</t>
  </si>
  <si>
    <t>2015. évi működési célú bevételek és kiadások mérlege (E Ft-ban)</t>
  </si>
  <si>
    <t>2015. évi beruházási kiadások feladatonként (ÁFA-val)</t>
  </si>
  <si>
    <t>2015. évi felújítási kiadások célonként (ÁFA-val)</t>
  </si>
  <si>
    <t>Tatai Közös Önkormányzati Hivatal által folyósított 2015. évi ellátottak pénzbeli juttatásának részletezése</t>
  </si>
  <si>
    <t>Tata Város Önkormányzata által folyósított 2015. évi ellátottak pénzbeli juttatásának részletezése</t>
  </si>
  <si>
    <t>Tata Város Önkormányzata és a Tatai Közös Önkormányzati Hivatal által adott visszatérítendő és vissza nem térítendő támogatások 2015. évi alakulása</t>
  </si>
  <si>
    <t>2015. évi kapott visszatérítendő és vissza nem térítendő támogatások és pénzeszközátvételek alakulása Tata Város Önkormányzatánál és a Tatai Közös Önkormányzati Hivatalnál</t>
  </si>
  <si>
    <t xml:space="preserve"> - Működési tartalék</t>
  </si>
  <si>
    <t>Elvonások és befizetések</t>
  </si>
  <si>
    <t>Termékek és szolgáltatások adói</t>
  </si>
  <si>
    <t>Késedelmi pótlék</t>
  </si>
  <si>
    <t>Bírságok</t>
  </si>
  <si>
    <t>Közvetített szolgáltatások ellenértéke</t>
  </si>
  <si>
    <t>Tulajdonosi bevételek (használatba adásból, üzemeltetésbe adásból származó bevételek, stb.)</t>
  </si>
  <si>
    <t>Garancia és kezességvállalásból származó visszatérülés</t>
  </si>
  <si>
    <t>COFOG</t>
  </si>
  <si>
    <t>Eszközbeszerzés (építési csoport)</t>
  </si>
  <si>
    <t>Informatika biztonsági beruházás, eszközbeszerzés</t>
  </si>
  <si>
    <t>Iktató program szoftver fejlesztés</t>
  </si>
  <si>
    <t>Tárgyi eszköz beszerzés (bútor, textília)</t>
  </si>
  <si>
    <t>Balatonfüredi üdülőbe tárgyi eszköz beszerzés</t>
  </si>
  <si>
    <t>Fényes fürdőn üdülőbe tárgyi eszköz beszerzés</t>
  </si>
  <si>
    <t>Balatonvilágosi üdülőbe tárgyi eszköz beszerzés</t>
  </si>
  <si>
    <t>Egyéb 2015. évi igények</t>
  </si>
  <si>
    <t>013350</t>
  </si>
  <si>
    <t>Tatai Közös Önkormányzati Hivatal tatai épületében aula üvegfödém</t>
  </si>
  <si>
    <t>Tatai 17/4 hrsz-ú ingatlanon sportcsarnok kialakítása I. ütem</t>
  </si>
  <si>
    <t>Tatai 17/4 hrsz-ú ingatlanon sportcsarnok kialakítása II. ütem</t>
  </si>
  <si>
    <t>Tatai 17/4 hrsz-ú ingatlanon sportcsarnok építéséhez kiegészítő munkálatok</t>
  </si>
  <si>
    <t>Kosárlabdacsarnok építés önereje</t>
  </si>
  <si>
    <t>Kastély tér támfal építés önerő és a fennmaradó rész megelőlegezése</t>
  </si>
  <si>
    <t>Kálvária u. 5. kerítés és támfal építése</t>
  </si>
  <si>
    <t>045120</t>
  </si>
  <si>
    <t>József A. u. Komáromi út csomópont fejlesztéséhez kapcsolódó egyéb önkormányzati feladatok</t>
  </si>
  <si>
    <t xml:space="preserve">Építők parkja I ütem </t>
  </si>
  <si>
    <t>Parkoló megváltásból származó bevételek felhasználása (áthúzódó)</t>
  </si>
  <si>
    <t>Kosárlabda csarnok és műfüves focipálya megközelítését szolgáló út kivitelezése (terv készítés folyamatban, ennek hiányában csak becsülhető út, közvilágítás, csapadékvíz)</t>
  </si>
  <si>
    <t>Tata- Agostyán járda, kerékpárút tervezés</t>
  </si>
  <si>
    <t>Út és járdaépítés tervezés (Új úti focipályához út, Dadi u. járda stb.)</t>
  </si>
  <si>
    <t>053010</t>
  </si>
  <si>
    <t>063080</t>
  </si>
  <si>
    <t>Rákóczi u.- Bercsényi u. vízelvezető nyomvonal kiváltás kivitelezés a Kastély park- Öreg tó felé</t>
  </si>
  <si>
    <t>Fekete út- Arany J.u.- Komáromi út Nagykert u. csapadékvíz elvezetés kivitelezés I. ütem</t>
  </si>
  <si>
    <t>Gesztenye fasorban a Malom patak befogadótól gerincvezeték építése és olajfogó műtárgy (Újhegyi vízfolyás alsó szakasz rekonstrukció I. ütem)</t>
  </si>
  <si>
    <t>064010</t>
  </si>
  <si>
    <t>Közvilágítási hálózat korszerűsítése II .ütem ( a KEOP pályázatban szereplő utcákhoz csatlakozó utcák)</t>
  </si>
  <si>
    <t>Térfigyelő kamerarendszer kiépítése</t>
  </si>
  <si>
    <t>Egység u. 12. ingatlan vételár (304/2014. (IX.1.) Tata Kt. határozat</t>
  </si>
  <si>
    <t>Kocsi u. 17. szám mögötti terület megvásárlása (354/2014. (IX.27.) Tata Kt. határozat</t>
  </si>
  <si>
    <t>Visszatérő forrásokkal kapcsolatos beruházások</t>
  </si>
  <si>
    <t>Területi együttműködést segítő programok kialakítása a tatai járásban ÁROP-1.A.3-2014-2014-0113</t>
  </si>
  <si>
    <t>Napelemes rendszer kiépítése a Kőkúti Általános Iskolában KEOP-4.10.0/N/14-2014-0382</t>
  </si>
  <si>
    <t>Balatonvilágosi konyha korszerűsítés</t>
  </si>
  <si>
    <t>Bercsényi u. 1. alatti ingatlanba informatikai eszközbeszerzés</t>
  </si>
  <si>
    <t>Május 1. út, Oroszlányi u., Keszthelyi út közvilágítás fejlesztése 2014-ről áthúzódó számla</t>
  </si>
  <si>
    <t>Hivatali hátsó fedett beálló felújítása (tetőszerkezet, falszerkezet, világítás)</t>
  </si>
  <si>
    <t>013320</t>
  </si>
  <si>
    <t>Fényes fürdő II. kút felújítás</t>
  </si>
  <si>
    <t>Tata, közvilágítás hálózat korszerűsítése II. ütem (A KEOP pályázatban szereplő utcákhoz közvetlenül csatlakozó utcák)</t>
  </si>
  <si>
    <t>Tópart sétány közvilágítás (Casablanca- Pötörke malom) kivitelezés</t>
  </si>
  <si>
    <t>Térfigyelő kamerarendszer</t>
  </si>
  <si>
    <t>Rákóczi u. 9. homlokzat felújítás</t>
  </si>
  <si>
    <t>Tatai 17/4 hrsz-ú ingatlanon földgáz vezeték vásárlása (2014-ről áthúzódó kötelezettségvállalás)</t>
  </si>
  <si>
    <t>Önkormányzati bérlakások felújítása, ebből 2014. évről áthúzódó számla 1 317 E Ft</t>
  </si>
  <si>
    <t xml:space="preserve"> - Balogh F. u. – Határ út; Nyírfa u., Tulipán u.; Újvilág u. II. ütem</t>
  </si>
  <si>
    <t>Fényes fürdő strand nyitáshoz szükséges munkálatok elvégzésére</t>
  </si>
  <si>
    <t xml:space="preserve"> - Pénzbeni és természetbeni települési támogatás (2015. 03. hónaptól)</t>
  </si>
  <si>
    <t>Tatai Közös Önkormányzati hivatal tatai épületében aula üvegfödém</t>
  </si>
  <si>
    <t>Öko program</t>
  </si>
  <si>
    <t>Önkormányzati nem lakás célú helyiségek felújítása</t>
  </si>
  <si>
    <t>Rákóczi u. 9. homlokzat felújítása</t>
  </si>
  <si>
    <t>Vaszary Villa állagmegóvó munkálataira (365/2014. (XI.27.) Kt. határozat)</t>
  </si>
  <si>
    <t>Fürdő u. 2. sz. ingatlanon a halaszthatatlan munkálatok elvégzésére</t>
  </si>
  <si>
    <t>Almási u. 43. Tatai Vöröskereszt által használt részén tetőfelújítás</t>
  </si>
  <si>
    <t>Dunaalmás Önkormányzatától</t>
  </si>
  <si>
    <t>Neszmély Önkormányzatától</t>
  </si>
  <si>
    <t>Dunaszentmiklós Önkormányzatától</t>
  </si>
  <si>
    <t>Fellner Jakab Alapítvány Támogatása - Kálvária Kápolna felújítása</t>
  </si>
  <si>
    <t>084032</t>
  </si>
  <si>
    <t>084060</t>
  </si>
  <si>
    <t>047460</t>
  </si>
  <si>
    <t>084070</t>
  </si>
  <si>
    <t>082092</t>
  </si>
  <si>
    <t>Működési</t>
  </si>
  <si>
    <t>Felhalmozási</t>
  </si>
  <si>
    <t xml:space="preserve">Aszfalt felületű utak útfelújítása marással újra aszfaltozással </t>
  </si>
  <si>
    <t xml:space="preserve"> - Vértesszőlősi úttal párhuzamos szerviz út egy szakasza, Fényes fürdő út</t>
  </si>
  <si>
    <t>Pormentesítés mart aszfaltos útfelújítás</t>
  </si>
  <si>
    <t xml:space="preserve"> - Fűzfa u. </t>
  </si>
  <si>
    <t>Naplókert u. burkolat felújításhoz kapcsoló önkormányzati feladatok (megállapodás alapján)</t>
  </si>
  <si>
    <t>Útfelújítások tervezése (a pormentesítésre jelölt utcák felújításának műszaki tartalom meghatározása, költségvetési kiírás készítése, 2016. évben felújításra kerülő utcák kiviteli tervei)</t>
  </si>
  <si>
    <t>052080</t>
  </si>
  <si>
    <t xml:space="preserve">Bacsó B.u. 66. lakótelep szennyvíz vezeték felújítása I ütem </t>
  </si>
  <si>
    <t>Bacsó B. u. 66. közvilágítás mérés kiépítés megtérítése E.ON-nak 50% szerződés alapján</t>
  </si>
  <si>
    <t>Bacsó B. u. 66. közvilágítási hálózat felújítása ( II ütem  2. közvil.kábelkör 200 fm kábel,oszlopok)</t>
  </si>
  <si>
    <t>066010</t>
  </si>
  <si>
    <t>Egység utcai szökőkút elbontás, áthelyezés, energiaellátás</t>
  </si>
  <si>
    <t>Ady Endre utca zöldterület felújítás határozat szerint</t>
  </si>
  <si>
    <t>Ady E. u. 12-14. (Helyőrségi Klub) felújításának tervei</t>
  </si>
  <si>
    <t>Fényes fürdőn üdülők felújítása</t>
  </si>
  <si>
    <t>Bacsó B. u. 66. lakótelep szennyvízcsatorna hálózat felújítás tervei 2014-ről áthúzódó számla</t>
  </si>
  <si>
    <t>Dobroszláv utcai csapadékvíz elvezető rendszer felújítása 2014-ről áthúzódó számla</t>
  </si>
  <si>
    <t>Belvárosi járda felújítások 2014-ről áthúzódó számla</t>
  </si>
  <si>
    <t>Országos Mentőszolgálat Tatai Állomásának</t>
  </si>
  <si>
    <t>Tatai Városkapu Zrt. támogatása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</si>
  <si>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</si>
  <si>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</si>
  <si>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</si>
  <si>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</si>
  <si>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</si>
  <si>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</si>
  <si>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</si>
  <si>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</si>
  <si>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</si>
  <si>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</si>
  <si>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</si>
  <si>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</si>
  <si>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</si>
  <si>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</si>
  <si>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</si>
  <si>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</si>
  <si>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FELHALMOZÁSI TARTALÉK</t>
  </si>
  <si>
    <t>MŰKÖDÉSI TARTALÉK</t>
  </si>
  <si>
    <t>Tata, közvilágítás hálózat korszerűsítése KEOP– 5.5.0/A.-12-2013-0229</t>
  </si>
  <si>
    <t>066020</t>
  </si>
  <si>
    <t>081071</t>
  </si>
  <si>
    <t>Összesen:</t>
  </si>
  <si>
    <t>ÖNKORMÁNYZAT</t>
  </si>
  <si>
    <t>ÁFA bevétel</t>
  </si>
  <si>
    <t>Működési célú pénzeszközátadás és támogatása</t>
  </si>
  <si>
    <t>Közép-Duna Vidéke Önkormányzati Társulásnak működési hozzájárulás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</si>
  <si>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</si>
  <si>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</si>
  <si>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</si>
  <si>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</si>
  <si>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</si>
  <si>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</si>
  <si>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</si>
  <si>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</si>
  <si>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</si>
  <si>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</si>
  <si>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kívülre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</si>
  <si>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</si>
  <si>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</si>
  <si>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</si>
  <si>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</si>
  <si>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Oktatási és Kulturális Alap</t>
  </si>
  <si>
    <t>Sportiskola - Kőkúti Sasok</t>
  </si>
  <si>
    <t>Vaszary János Általános Iskola Alapítványának matematika versenyre és táborra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</si>
  <si>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</si>
  <si>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</si>
  <si>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</si>
  <si>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</si>
  <si>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</si>
  <si>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</si>
  <si>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</si>
  <si>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061030</t>
  </si>
  <si>
    <t>Egyéb működési kiadások</t>
  </si>
  <si>
    <t>Beruházási kiadások</t>
  </si>
  <si>
    <t>Felújítási kiadások</t>
  </si>
  <si>
    <t xml:space="preserve">Költségvetési egyenleg: 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</si>
  <si>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</si>
  <si>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</si>
  <si>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</si>
  <si>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</si>
  <si>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</si>
  <si>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</si>
  <si>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</si>
  <si>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</si>
  <si>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</si>
  <si>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</si>
  <si>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107060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</si>
  <si>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</si>
  <si>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</si>
  <si>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</si>
  <si>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</si>
  <si>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</si>
  <si>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</si>
  <si>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</si>
  <si>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</si>
  <si>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</si>
  <si>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</si>
  <si>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</si>
  <si>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</si>
  <si>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</si>
  <si>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</si>
  <si>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>Kamat bevétel</t>
  </si>
  <si>
    <t>Munkaadókat terhelő járulékok és szociális hozzájárulási adó</t>
  </si>
  <si>
    <t>Kenderke Néptánc Egyesület támogatása</t>
  </si>
  <si>
    <t>TIT KEM Egyesületének támogatása</t>
  </si>
  <si>
    <t>Pötörke Néptánc Egyesület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</si>
  <si>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</si>
  <si>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</si>
  <si>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</si>
  <si>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</si>
  <si>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</si>
  <si>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</si>
  <si>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</si>
  <si>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</si>
  <si>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NEP</t>
  </si>
  <si>
    <t>ZBR</t>
  </si>
  <si>
    <t>Kis- és középvállalkozások munkahelyteremtő támogatása</t>
  </si>
  <si>
    <t>TAC támogatása</t>
  </si>
  <si>
    <t>Munkáltatói kölcsön nyújtása</t>
  </si>
  <si>
    <t>Működési célú visszatérítendő támogatások, kölcsönök visszatérülése államháztartáson kívülről</t>
  </si>
  <si>
    <t>052 080</t>
  </si>
  <si>
    <t>2015. évi felhalmozási célú bevételek és kiadások mérlege (E Ft-ban)</t>
  </si>
  <si>
    <t>Tata Város Önkormányzata és az általa irányított költségvetési szervek 2015. évi bevételei forrásonként ( E Ft-ban)</t>
  </si>
  <si>
    <t xml:space="preserve">Tata Város Önkormányzata és az általa irányított költségvetési szervek 2015. évi kiadásai </t>
  </si>
  <si>
    <t>Kuny Domokos Múzeum 2015. évi költségvetése (bevételek)  E Ft-ban</t>
  </si>
  <si>
    <t>Kuny Domokos Múzeum  2015. évi költségvetése (kiadások)  E Ft-ban</t>
  </si>
  <si>
    <t>Tata Város Önkormányzatának 2015. évi tartalékai (E Ft-ban)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</si>
  <si>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</si>
  <si>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</si>
  <si>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államháztartáson belülről</t>
  </si>
  <si>
    <t>Felhalmozási célú támogatások államháztartáson belülről (vissza nem térítendő)</t>
  </si>
  <si>
    <t>Működési célú támogatások államháztartáson belülről (vissza nem térítendő)</t>
  </si>
  <si>
    <t>Működési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</si>
  <si>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</si>
  <si>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</si>
  <si>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</si>
  <si>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</si>
  <si>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</si>
  <si>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</si>
  <si>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</si>
  <si>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</si>
  <si>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</si>
  <si>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</si>
  <si>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</si>
  <si>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</si>
  <si>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</si>
  <si>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Víz-Zene-Virág Fesztivál Egyesületnek nyújtott rövid lejáratú kölcsön visszafizetése</t>
  </si>
  <si>
    <t>Munkáltatói kölcsön visszafizetése</t>
  </si>
  <si>
    <t>Háztartásoknak nyújtott egyéb felhalmozási célú kölcsön visszafizetése</t>
  </si>
  <si>
    <t>Tatai Kistérségi Többcélú Társulástól feladatellátáshoz hozzájárulás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</si>
  <si>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</si>
  <si>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</si>
  <si>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</si>
  <si>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</si>
  <si>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</si>
  <si>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</si>
  <si>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</si>
  <si>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</si>
  <si>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</si>
  <si>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</si>
  <si>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</si>
  <si>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</si>
  <si>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</si>
  <si>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</si>
  <si>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</si>
  <si>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</si>
  <si>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</si>
  <si>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</si>
  <si>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</si>
  <si>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</si>
  <si>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</si>
  <si>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</si>
  <si>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</si>
  <si>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>Cél megnevezése</t>
  </si>
  <si>
    <t>A kiadás forrása</t>
  </si>
  <si>
    <t>Vissza nem térítendő támogatás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</si>
  <si>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</si>
  <si>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</si>
  <si>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</si>
  <si>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</si>
  <si>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</si>
  <si>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</si>
  <si>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</si>
  <si>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</si>
  <si>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</si>
  <si>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</si>
  <si>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</si>
  <si>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</si>
  <si>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</si>
  <si>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</si>
  <si>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</si>
  <si>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</si>
  <si>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Intézmények Gazdasági Hivatalához tartozó intézmények</t>
  </si>
  <si>
    <t>E. Ft-ban</t>
  </si>
  <si>
    <t>Bevétel</t>
  </si>
  <si>
    <t>Kiadás</t>
  </si>
  <si>
    <t xml:space="preserve">Egyéb működési bevételből </t>
  </si>
  <si>
    <t>Egyéb működési bevételből</t>
  </si>
  <si>
    <t>A munka és a magánélet összehangolása a Tatai Közös Önkormányzati Hivatalban TÁMOP-2.4.5-12/7-2012-0705</t>
  </si>
  <si>
    <t>Működési kiadások</t>
  </si>
  <si>
    <t>Felhalmozási kiadások</t>
  </si>
  <si>
    <t>M.adókat terh. jár. és szochó</t>
  </si>
  <si>
    <t>Hitel- és kölcsön törlesztés</t>
  </si>
  <si>
    <t>Állam (igazgatás)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</si>
  <si>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</si>
  <si>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</si>
  <si>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</si>
  <si>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</si>
  <si>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</si>
  <si>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</si>
  <si>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</si>
  <si>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</si>
  <si>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</si>
  <si>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</si>
  <si>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</si>
  <si>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</si>
  <si>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</si>
  <si>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</si>
  <si>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</si>
  <si>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</si>
  <si>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</si>
  <si>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</si>
  <si>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</si>
  <si>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</si>
  <si>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</si>
  <si>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</si>
  <si>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</si>
  <si>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</si>
  <si>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</si>
  <si>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</si>
  <si>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</si>
  <si>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>032 020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</si>
  <si>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</si>
  <si>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</si>
  <si>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</si>
  <si>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</si>
  <si>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</si>
  <si>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</si>
  <si>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</si>
  <si>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</si>
  <si>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</si>
  <si>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</si>
  <si>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</si>
  <si>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</si>
  <si>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</si>
  <si>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</si>
  <si>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</si>
  <si>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</si>
  <si>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</si>
  <si>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</si>
  <si>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</si>
  <si>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</si>
  <si>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</si>
  <si>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</si>
  <si>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</si>
  <si>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</si>
  <si>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</si>
  <si>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</si>
  <si>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</si>
  <si>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</si>
  <si>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</si>
  <si>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</si>
  <si>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</si>
  <si>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</si>
  <si>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</si>
  <si>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</si>
  <si>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</si>
  <si>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</si>
  <si>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</si>
  <si>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</si>
  <si>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</si>
  <si>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</si>
  <si>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</si>
  <si>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</si>
  <si>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</si>
  <si>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</si>
  <si>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</si>
  <si>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</si>
  <si>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</si>
  <si>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</si>
  <si>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</si>
  <si>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</si>
  <si>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084 070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</si>
  <si>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</si>
  <si>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</si>
  <si>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</si>
  <si>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</si>
  <si>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</si>
  <si>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</si>
  <si>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</si>
  <si>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</si>
  <si>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</si>
  <si>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</si>
  <si>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</si>
  <si>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</si>
  <si>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</si>
  <si>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</si>
  <si>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</si>
  <si>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</si>
  <si>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</si>
  <si>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</si>
  <si>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</si>
  <si>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</si>
  <si>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</si>
  <si>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</si>
  <si>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</si>
  <si>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</si>
  <si>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</si>
  <si>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</si>
  <si>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</si>
  <si>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</si>
  <si>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</si>
  <si>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Bevételek összesen</t>
  </si>
  <si>
    <t>Kiadások összesen</t>
  </si>
  <si>
    <t>ÁFA</t>
  </si>
  <si>
    <t>előző évi átvétele</t>
  </si>
  <si>
    <t>M.adókat terhelő jár.</t>
  </si>
  <si>
    <t>Dologi</t>
  </si>
  <si>
    <t>Kötelező összesen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</si>
  <si>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</si>
  <si>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</si>
  <si>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</si>
  <si>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</si>
  <si>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</si>
  <si>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</si>
  <si>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</si>
  <si>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</si>
  <si>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</si>
  <si>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</si>
  <si>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</si>
  <si>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</si>
  <si>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</si>
  <si>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</si>
  <si>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</si>
  <si>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</si>
  <si>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</si>
  <si>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</si>
  <si>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</si>
  <si>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</si>
  <si>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>Nem kötelező összesen:</t>
  </si>
  <si>
    <t>Állam (igazgatás) összesen:</t>
  </si>
  <si>
    <t>A munka és a magánélet összehangolását segítő helyi kezdeményezések megvalósítása Tata városában TÁMOP-2.4.5-12/3-2012-0028</t>
  </si>
  <si>
    <t>Önkormányzati költségvetési szervek engedélyezett létszáma</t>
  </si>
  <si>
    <t>Költségvetési szervek megnevezése</t>
  </si>
  <si>
    <t>Engedélyezett létszám (fő)</t>
  </si>
  <si>
    <t>Csillagsziget Bölcsőde</t>
  </si>
  <si>
    <t>Kamatmentes lakossági kölcsön visszafizetése</t>
  </si>
  <si>
    <t>Munkaügyi Központtól közfoglalkoztatás támogatására</t>
  </si>
  <si>
    <t>Tata és Környéke Turisztikai Egyesületnek a Végvárak védelmében HUSK/1101/1.7.1/0143 projekt megvalósítására nyújtott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</si>
  <si>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</si>
  <si>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</si>
  <si>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Pötörke Népművészeti Egyesületnek vállalt kezesség visszatérülése</t>
  </si>
  <si>
    <t>Kastély téri támfal építésre vis maior támogatás</t>
  </si>
  <si>
    <t>Tatai Angolpark rehabilitációja KDOP -2.1.1/B-2f-2009-0002 önerő támogatás</t>
  </si>
  <si>
    <t>Öreg-tavi Ökoturisztikai Központ kialakítása a csatlakozó kerékpárutak felújításával Tatán és a tematikus aktív turisztikai fejlesztések a kistérségben KDOP–2.1.1/B–09-2010-0002 önerő támogatás</t>
  </si>
  <si>
    <t>Önerő</t>
  </si>
  <si>
    <t>Támogatás</t>
  </si>
  <si>
    <t>Pénzbeni és természetbeni segély (átmeneti segély 2015. 01-02. hó)</t>
  </si>
  <si>
    <t>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</si>
  <si>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</si>
  <si>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</si>
  <si>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>Arany János Tehetséggondozó Programban részt vevő tanulók támogatása</t>
  </si>
  <si>
    <t>Bursa Hungarica ösztöndíjakra 315/2014. (IX.1.) Tata Kt. határozat alapján</t>
  </si>
  <si>
    <t>Környezetvédelmi Alap civil és intézményi pályázók részére</t>
  </si>
  <si>
    <t>Háziorvosi alapellátás támogatása 273 E Ft/praxis, 21 praxis</t>
  </si>
  <si>
    <t>Kenderke Alapfokú Művészeti Iskola Fürkész Programjának támogatása</t>
  </si>
  <si>
    <t>Magyarországi Bem József Lengyel Kulturális Egyesület tatai tagozatának</t>
  </si>
  <si>
    <t>Magyar Autóklubnak közlekedésbiztonsági oktatás a város általános iskoláiban</t>
  </si>
  <si>
    <t>Jászai Mari színháznak bérlettámogatás</t>
  </si>
  <si>
    <t>Tata és Környéke Turisztikai Egyesületnek a Végvárak védelmében HUSK/1101/1.7.1/0143 projekt megvalósítására kölcsön nyújtása</t>
  </si>
  <si>
    <t>Közlekedési Koordinációs Központnak - Tata, Május 1. út körforgalmi csomópont pénzügyi elszámolás 2014. évről áthúzódó kötelezettség</t>
  </si>
  <si>
    <t>Panel program   346/2009./IX.30./ sz. határozat alapján - Tata, Május 1. út 36.</t>
  </si>
  <si>
    <t>ÚSZT pályázat  fűtéskorszerűsítés /2012, TEF/ 2013, egyéb energiahatékonyságot javító pályázatok</t>
  </si>
  <si>
    <t>016030</t>
  </si>
  <si>
    <t>Állampolgársági ügyek - Anyakönyv</t>
  </si>
  <si>
    <t>109010</t>
  </si>
  <si>
    <t>Szociális Igazgatás</t>
  </si>
  <si>
    <t>044310</t>
  </si>
  <si>
    <t>Öko Program - Gesztenye fasor 43.</t>
  </si>
  <si>
    <t>Pötörke Egyesület támogatása - Pötörke ház felújítása</t>
  </si>
  <si>
    <t>650 M hitelkeret</t>
  </si>
  <si>
    <t>250 M hitelkeret</t>
  </si>
  <si>
    <t>Kossuth téren közterületi szobor felállítása NKA - AN2000N6284 (a 2.000 E Ft-os támogatás 2013-ban önkormányzatunkhoz érkezett)</t>
  </si>
  <si>
    <t>Balatonvilágosi üdülő energiatakarékossági felújítása, cserépkályha építése</t>
  </si>
  <si>
    <t>Tata-Tóparti Viziközmű Társulat készfizető kezességével kapcsolatos követelés teljesülése után felszabadítható</t>
  </si>
  <si>
    <t>2013. évi feladatmutatók elszámolása utáni visszafizetési kötelezettség</t>
  </si>
  <si>
    <t>2014. évi eseti felülvizsgálatra</t>
  </si>
  <si>
    <t>Bírság</t>
  </si>
  <si>
    <t>Irányítószervi támogatás folyósítása</t>
  </si>
  <si>
    <t>Tatai Városkapu Közhasznú Zrt. vezérigazgatójának prémiumfeladatára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</si>
  <si>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</si>
  <si>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</si>
  <si>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</si>
  <si>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</si>
  <si>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</si>
  <si>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</si>
  <si>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</si>
  <si>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</si>
  <si>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</si>
  <si>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</si>
  <si>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Szolgáltatások ellenértéke (temető fenntartási hozzájárulás, sírhelydíj, nevezési díj)</t>
  </si>
  <si>
    <t xml:space="preserve"> 2015 – 2024-ig a hosszú lejáratú felhalmozási hitel visszafizetéseket figyelembe véve (E Ft-ban)</t>
  </si>
  <si>
    <t>Tatai Kincseskert Óvoda - Kettő gyermek fürdőszoba-vízvezeték, burkolás</t>
  </si>
  <si>
    <t>Csillagsziget Bölcsőde - Egy gondozóegység vizes blokkjának a teljes felújítása, gondozó egység parkettájának cseréje</t>
  </si>
  <si>
    <t>Kőkúti Általános Iskola - udvari betonsávok aszfaltozása, tanuló asztalok felújítása, tan.székek pótlása, tanterem PVC burkolat csere</t>
  </si>
  <si>
    <t>Tatai Kertvárosi Óvoda - egyetemes konyhagép, üst bekötés</t>
  </si>
  <si>
    <t>Tatai Fürdő utcai Óvoda - billenő serpenyő, főző-sütő edények</t>
  </si>
  <si>
    <t>Középnyugat-magyarországi Közlekedési Központ Zrt. részére szerződés alapján 353/2010.(XI.24.) Tata Kt. határozat</t>
  </si>
  <si>
    <t>Középnyugat-magyarországi Közlekedési Központ Zrt.-nek megállapodás alapján tanulóbérletekre</t>
  </si>
  <si>
    <t xml:space="preserve"> - Bacsó lakótelep belső út, Váczi M. u., Spar előtt szerviz út</t>
  </si>
  <si>
    <t>Tata és Környéke Turisztikai Egyesület (Turisztikai Desztináció Menedzsment) támogatása 270/2009. (VIII.12.) Tata Kt. határozat</t>
  </si>
  <si>
    <t>Klebelsberg Intézményfenntartó Központ tatai intézményének kölcsön nyújtás</t>
  </si>
  <si>
    <t>Klebelsberg Intézményfenntartó Központ tatai intézményének nyújtott kölcsön visszatérülés</t>
  </si>
  <si>
    <t>Informatikai eszközbeszerzés</t>
  </si>
  <si>
    <t>Magyary Zoltán Művelődési Központ színpad felújítása 61/2014. (III.14.) Tata Kt. határozat</t>
  </si>
  <si>
    <t>Balatonvilágosi üdülő energiatakarékos felújítása, cserépkályha építés</t>
  </si>
  <si>
    <t>Járdafelújítások (Komáromi u. Ady E. út, Szilágyi u., Csapó u., Fazekas u., Gesztenyefasor, Agostyáni utca, Május 1 úti járda részek, Agostyán: Szabadság u., Diófa u., Tavasz u. stb.)</t>
  </si>
  <si>
    <t>Akadálymentesítés, közlekedésbiztonság növelése (járdák, gyalogátkelőhelyek akadálymentesítése, korlát elhelyezése, buszparkoló kijelölés)</t>
  </si>
  <si>
    <t>Viziközmű felújítása az ÉDV Zrt. üzemeltetési szerződése szerint</t>
  </si>
  <si>
    <t>Tatai Közös Önkormányzati Hivatal tatai székhely belső udvar felújítása</t>
  </si>
  <si>
    <t>Fényes fürdőn szálláshelyek részbeni felújítása és vízvezeték-szerelés 2014-ről áthúzódó számlák alapján</t>
  </si>
  <si>
    <t>Bacsó B. út kandeláberek kábelcsere 2014-ről áthúzódó számla</t>
  </si>
  <si>
    <t>Menner Bernát Zeneiskola - WC mosdó bűzelzárók miatti bontás, újraalapozás</t>
  </si>
  <si>
    <t>Agostyáni u. 1-3. épületének Tatai Televízió által használt részén homlokzat-felújítás</t>
  </si>
  <si>
    <t>Fényes Fürdő Kft.-nek tagi kölcsön</t>
  </si>
  <si>
    <t>Bacsó B. ltp. belső út, Váczi M. u., Spar előtti szerviz út marás, aszfaltozás</t>
  </si>
  <si>
    <t>Újvilág u. II. ütem mart aszfaltos felújítása, Balogh F. u., Határ u. mart aszfaltos felújítása, Tulipán u., Nyírfa u. mart aszfaltos felújítása</t>
  </si>
  <si>
    <t>Iskolai konyhák felújításának tervei és az átalakítás előkészítése</t>
  </si>
  <si>
    <t>Fekete út, Arany J.u., Komáromi út, Nagykert u. csapadékvíz elvezetés kivitelezés I. ütem</t>
  </si>
  <si>
    <t>Csillagsziget Bölcsőde - élelmezési program, ipari turmixgép, 2 db vár mászóka, gondozónői asztal, radiátor burkolat, faházikó, mozgásfejlesztő eszközök</t>
  </si>
  <si>
    <t>Tatai Geszti Óvoda - mosógép, konyhai páraelszívó, komplex konyhai robotgép, 2 db nagy főzőedény</t>
  </si>
  <si>
    <t>Menner Bernát Zeneiskola - Hangszer, 2 db számítógép</t>
  </si>
  <si>
    <t>Tatai Kertvárosi Óvoda - Elektromos kapcs.szekrény,el.kötések cseréje, járda javítás</t>
  </si>
  <si>
    <t>Vaszary János Általános Iskola Jázmin utcai Tagintézménye - balesetveszélyes udvari burkolat bontása, új burkolat készítése, tereprend., tantermi padok felújítása (első osztályosok részére)</t>
  </si>
  <si>
    <t>Tatai Kincseskert Óvoda - Befogadó élettér pályázat</t>
  </si>
  <si>
    <t>Immateriális javak, informatikai eszközök és egyéb tárgyi eszközök beszerzése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</si>
  <si>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</si>
  <si>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</si>
  <si>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</si>
  <si>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</si>
  <si>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</si>
  <si>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</si>
  <si>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</si>
  <si>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Eredeti átlag létszám</t>
  </si>
  <si>
    <t>Hosszabb időtartamú közfoglalkoztatás</t>
  </si>
  <si>
    <t>Tatai Egészségügyi Alapellátó Intézmény</t>
  </si>
  <si>
    <t>Tatai székhely</t>
  </si>
  <si>
    <t>Dunaalmási Kirendeltség</t>
  </si>
  <si>
    <t>Dunaszentmiklósi Kirendeltség</t>
  </si>
  <si>
    <t>Eszközbeszerzés</t>
  </si>
  <si>
    <t>Hódy Sport Egyesületnek</t>
  </si>
  <si>
    <t>Vívó Sport Egyesületnek</t>
  </si>
  <si>
    <t>Tatai Sportegyesületnek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</si>
  <si>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</si>
  <si>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</si>
  <si>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</si>
  <si>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</si>
  <si>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</si>
  <si>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</si>
  <si>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</si>
  <si>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</si>
  <si>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</si>
  <si>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</si>
  <si>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</si>
  <si>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</si>
  <si>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</si>
  <si>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</si>
  <si>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Hiány finanszírozása belső forrásból:</t>
  </si>
  <si>
    <t>Hiány finanszírozása külső forrásból:</t>
  </si>
  <si>
    <t>Termékek és szolgáltatások</t>
  </si>
  <si>
    <t>Szolgáltatások ellenértéke</t>
  </si>
  <si>
    <t>Tulajdonosi bevételek</t>
  </si>
  <si>
    <t>Iparűzési adóból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</si>
  <si>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</si>
  <si>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</si>
  <si>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</si>
  <si>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</si>
  <si>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</si>
  <si>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</si>
  <si>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</si>
  <si>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</si>
  <si>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</si>
  <si>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</si>
  <si>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</si>
  <si>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</si>
  <si>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</si>
  <si>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Általános működés és ágazati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</si>
  <si>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</si>
  <si>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</si>
  <si>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</si>
  <si>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</si>
  <si>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Önkormányzati ingatlanon végzett fejlesztések</t>
  </si>
  <si>
    <t>Fényes-fürdő területén fejlesztések végrehajtása (üzemeltetési szerződés alapján)</t>
  </si>
  <si>
    <t>Épület építési beruházások támogatása</t>
  </si>
  <si>
    <t>Építők parkja I. ütem</t>
  </si>
  <si>
    <t>Kormányengedéllyel rendelkező feladatok</t>
  </si>
  <si>
    <t>Kormányengedély módosítást igénylő feladatok</t>
  </si>
  <si>
    <t>Összes hitelfelvétel: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</si>
  <si>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</si>
  <si>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</si>
  <si>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</si>
  <si>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</si>
  <si>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</si>
  <si>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</si>
  <si>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</si>
  <si>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</si>
  <si>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Működési bevételek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</si>
  <si>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</si>
  <si>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</si>
  <si>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</si>
  <si>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</si>
  <si>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</si>
  <si>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</si>
  <si>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</si>
  <si>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</si>
  <si>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</si>
  <si>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</si>
  <si>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</si>
  <si>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</si>
  <si>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</si>
  <si>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</si>
  <si>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</si>
  <si>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</si>
  <si>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</si>
  <si>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</si>
  <si>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</si>
  <si>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</si>
  <si>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</si>
  <si>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</si>
  <si>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</si>
  <si>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</si>
  <si>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</si>
  <si>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</si>
  <si>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</si>
  <si>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</si>
  <si>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</si>
  <si>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</si>
  <si>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</si>
  <si>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</si>
  <si>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</si>
  <si>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</si>
  <si>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</si>
  <si>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</si>
  <si>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</si>
  <si>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Működési tartalékok</t>
  </si>
  <si>
    <t>Általános tartalék</t>
  </si>
  <si>
    <t>Működési tartalék</t>
  </si>
  <si>
    <t>Működési céltartalék</t>
  </si>
  <si>
    <t xml:space="preserve">Felhalmozási tartalékok </t>
  </si>
  <si>
    <t>Hitel</t>
  </si>
  <si>
    <t>Hitel (megkötött szerződés alapján)</t>
  </si>
  <si>
    <t>Megkötött szerződés alapján</t>
  </si>
  <si>
    <t>Vaszary János Általános Iskola - elektromos hálózat átalakítása a megnövekedett igényeknek megfelelő hálózatbővítéssel, fogyasztási mérők összevonásával, játszótér kialakítása</t>
  </si>
  <si>
    <t>460/135 hrsz-ú ingatlan megvásárlása (509/2013. (X.31) Tata Kt. határozat</t>
  </si>
  <si>
    <t>Tatai Barokk Fesztivál és Nemzetközi Zenei Mesterkurzus támogatása</t>
  </si>
  <si>
    <t>Hitel felhalmozási célok szerinti bontásban (E Ft-ban)</t>
  </si>
  <si>
    <t>Felhalmozási célú támogatások és átvett pénzeszközök összesen:</t>
  </si>
  <si>
    <t>Tópart sétány közvilágítás (Casablanca- Ökoturisztikai Központ - Pötörke malom) kivitelezés</t>
  </si>
  <si>
    <t>Mód. (V.27.)</t>
  </si>
  <si>
    <t>Adósságkezelési szolgáltatással kapcsolatos lakásfenntartási támogatás</t>
  </si>
  <si>
    <t>Rendszeres gyermekvédelmi támogatás (Erzsébet utalvány)</t>
  </si>
  <si>
    <t>Májusi módosítások</t>
  </si>
  <si>
    <t>Tatai 456/7, 456/8, 456/9 hrsz.-ú ingatlanok villamos energia ellátásához 5/2015. (I.29.) Tata Kt. határozat</t>
  </si>
  <si>
    <t>A tatai 2900 hrsz.-ú ingatlanból 86 m2 nagyságú terület vételára 112/2015. (III.26.) Tata Kt. határozat</t>
  </si>
  <si>
    <t>A tatai 2902/1 hrsz.-ú ingatlanból 187 m2 nagyságú terület vételára 112/2015. (III.26.) Tata Kt. határozat</t>
  </si>
  <si>
    <t>Emlékkereszt felállítása a Mindszenty tér északi sarkán 178/2015. (IV.30.) Tata Kt. határozat</t>
  </si>
  <si>
    <t>Diófa utcában lévő csapadékcsatorna szelvényében lévő beton befolyás eltávolítása</t>
  </si>
  <si>
    <t>Testvérvárosok parkjában lévő szobor díszvilágítása</t>
  </si>
  <si>
    <t>Magnum Hungaria Beta Kft-től térítésmentesen átvett 314 m2 nagyságú ingatlannal kapcsolatos Áfa</t>
  </si>
  <si>
    <t>Tatai Egészségügyi Alapellátó Intézmény - EKG gép, defibrillátor töltő, fóliázó gép, ügyeleti személygépkocsi, új autóra téli gumi</t>
  </si>
  <si>
    <t>Tatai Bartók Béla utcai Óvoda - tárgyi eszköz vásárlás</t>
  </si>
  <si>
    <t>Vaszary János Általános Iskola - tárgyi eszköz vásárlás</t>
  </si>
  <si>
    <t>Intézmények Gazdasági Hivatal - tárgyi eszköz vásárlás</t>
  </si>
  <si>
    <t>Kuny Domokos Múzeum - Immateriális javak, informatikai eszközök és egyéb tárgyi eszközök beszerzése</t>
  </si>
  <si>
    <t>Fényes-fürdőn napközis tábor kialakítása 109/2015. (III.26.) Tata Kt. határozat</t>
  </si>
  <si>
    <t>Fényes-fürdő területén található gyermekmedence felújítási munkálatai 153/2015. (IV.30.) Tata Kt. határozat</t>
  </si>
  <si>
    <t>Tatai Kistérségi Időskorúak Otthona intézmény fejlesztése a „Szociális szakosított ellátást és a gyermekek átmeneti gondozását szolgáló önkormányzati intézmények fejlesztése, felújítása támogatására” elnevezésű pályázatban, önerő 168/2015. (IV.30.) Tata Kt. határozat</t>
  </si>
  <si>
    <t>Általános működési és ágazati feladatok támogatása</t>
  </si>
  <si>
    <t>Magyar Ökomenikus Segélyszervezet Kárpátaljai magyar gyermekek étkeztetésének támogatása</t>
  </si>
  <si>
    <t>Eredeti
250.000 E Ft
6,1 % kamat</t>
  </si>
  <si>
    <t>Eredeti
650.000 E Ft
3,49 % kamat</t>
  </si>
  <si>
    <t xml:space="preserve">Eredeti
összesen
</t>
  </si>
  <si>
    <t>Eredeti
Összeg</t>
  </si>
  <si>
    <t xml:space="preserve">Felhalmozási támogatás </t>
  </si>
  <si>
    <t>Központosított támogatás</t>
  </si>
  <si>
    <t>Tata Város Önkormányzata</t>
  </si>
  <si>
    <t>Tatai Közös Önkormányzati Hivatal tatai székhely</t>
  </si>
  <si>
    <t>Járulék</t>
  </si>
  <si>
    <t>Intézmények Gazdasági Hivatala és a hozzá tartozó intézmények</t>
  </si>
  <si>
    <t>Működési célú támogatások államháztartáson belülről</t>
  </si>
  <si>
    <t>Felhalmozási célú támogatások államháztartáson belülről</t>
  </si>
  <si>
    <t>Betétlekötésből fizetési számlára visszaérkező pénzösszeg</t>
  </si>
  <si>
    <t>Kőkuti Sasok Diák Sportegyesület támogatása</t>
  </si>
  <si>
    <t>Lakossági közműfejlesztési támogatás</t>
  </si>
  <si>
    <t>Felhalmozási célú támogatás államháztartáson kívülre visszatérítendő</t>
  </si>
  <si>
    <t>Magyar Közút Nonprofit Zrt. Támogatása</t>
  </si>
  <si>
    <t>Tatai Német Nemzetiségi Önkormányzat - Testvérvárosok Üvegkönyvéhez támogatás</t>
  </si>
  <si>
    <t xml:space="preserve">Értékvédelmi feladatok támogatása </t>
  </si>
  <si>
    <t>Önkormányzati választásokhoz támogatás</t>
  </si>
  <si>
    <t>Rendszeres gyermekvédelmi támogatáshoz Erzsébet utalvány</t>
  </si>
  <si>
    <t>Működési célú visszatérítendő támogatások, kölcsönök visszatérülése államháztartáson belülről</t>
  </si>
  <si>
    <t>Működési célú támogatások államháztartások belülről (vissza nem térítendő, és visszatérítendő)</t>
  </si>
  <si>
    <t>Tatai Német Nemzetiségi Önkormányzat kölcsön visszatérülése</t>
  </si>
  <si>
    <t>Felhalmozási célú támogatások államháztartáson belülről (vissza nem térítendő és visszatérítendő)</t>
  </si>
  <si>
    <t>Magyar Közút Nonprofit Zrt. Kölcsön visszafizetése</t>
  </si>
  <si>
    <t>Betétlekötés céljából átvezetés fizetési számláról</t>
  </si>
  <si>
    <t>Működési célú támogatások államháztartáson kívülről (vissza nem térítendő)</t>
  </si>
  <si>
    <t>Működési célú átvett pénzeszköz államháztartások kívülről (vissza nem térítendő, és visszatérítendő)</t>
  </si>
  <si>
    <t>Felhalmozási célú átvett pénzeszközök államháztartáson kívülről (vissza nem térítendő és visszatérítendő)</t>
  </si>
  <si>
    <t>Működési célú átvett pénzeszközök (államháztartáson kívülről)</t>
  </si>
  <si>
    <t>Felhalmozási célú átvett pénzeszközök (államháztartáson kívülről)</t>
  </si>
  <si>
    <t>Felhalmozási támogatások</t>
  </si>
  <si>
    <t>Betétlekötlekötésből fizetési számlára visszaérkező összeg</t>
  </si>
  <si>
    <t>104051</t>
  </si>
  <si>
    <t>Rendszeres gyermekvédelmi támogatás</t>
  </si>
  <si>
    <t>Betét lekötés</t>
  </si>
  <si>
    <t>Hitel-és kölcsöntörlesztés</t>
  </si>
  <si>
    <t>Állami támogatás megelőlegezési hitel</t>
  </si>
  <si>
    <t>Hitel-és kölcsöntörlesztés megkötött szerződés alapján</t>
  </si>
  <si>
    <t>Hitel és kölcsön törlesztés</t>
  </si>
  <si>
    <t>Hitel- és kölcsöntörlesztés</t>
  </si>
  <si>
    <t>Betétlekötésből fizetési számláról visszaérkező összeg</t>
  </si>
  <si>
    <t>Móricz Zsigmond városi könyvtár eszközbeszerzése</t>
  </si>
  <si>
    <t>Mód. (IX.30.)</t>
  </si>
  <si>
    <t>Lehívható központi támogatás Mód. (IX.30.)</t>
  </si>
  <si>
    <t>Mód. (IX.30.)
250.000 E Ft
6,1 % kamat</t>
  </si>
  <si>
    <t>Mód. (IX.30.)
650.000 E Ft
3,49 % kamat</t>
  </si>
  <si>
    <t xml:space="preserve">Mód. (IX.30.)
összesen
</t>
  </si>
  <si>
    <t>Mód. (IX.30.)
Összeg</t>
  </si>
  <si>
    <t>Pro Minoritate Alapítványnak</t>
  </si>
  <si>
    <t>Boldogasszony Iskolanővéreknek</t>
  </si>
  <si>
    <t>Komárom-Esztergom Megyei Diáksport és Szabadidő Egyesületnek</t>
  </si>
  <si>
    <t>Tatai Városkapu Zrt. Támogatása</t>
  </si>
  <si>
    <t>Tata és Környéke Turisztikai Egyesület támogatása</t>
  </si>
  <si>
    <t>Működési célú vissza nem térítendő támogatás államháztartáson belülre</t>
  </si>
  <si>
    <t>Kuny Domokos Múzeumnak</t>
  </si>
  <si>
    <t>Kossuth tér városközpont értékmegőrző rehabilitációja KDOP–3.1.1/A–09-2f-2011-0001</t>
  </si>
  <si>
    <t>Kossuth tér városközpont értékmegőrző rehabilitációja KDOP–3.1.1/A–09-2f-2011-0001 önerő támogatás</t>
  </si>
  <si>
    <t>Háztartásoktól átvett pénzeszköz</t>
  </si>
  <si>
    <t>A Tatabánya-Vértesszőlős-Tata településeket összekötő közlekedési célú kerékpárút építése az Általér mentén KÖZOP-3.2.0/c-08-2010-0003</t>
  </si>
  <si>
    <t>Útfejlesztési hozzájárulás</t>
  </si>
  <si>
    <t>Tata és Környéke Turisztikai Egyesület kölcsön visszafizetése</t>
  </si>
  <si>
    <t>Nemzeti Rehabilitációs és Szociális Hivataltól TÁMOP 1.1.1. Projekt</t>
  </si>
  <si>
    <t>Likvidhitel törlesztés</t>
  </si>
  <si>
    <t>Pótlólagos állami támogatás 2014. évi elszámolás alapján</t>
  </si>
  <si>
    <t>Vis maior támogatás</t>
  </si>
  <si>
    <t>Részesedés értékesítése</t>
  </si>
  <si>
    <t>Jármű értékesítése</t>
  </si>
  <si>
    <t>Likvidihitel felvétel</t>
  </si>
  <si>
    <t>Építés hatósági ügyek</t>
  </si>
  <si>
    <t>Szept-i mód.</t>
  </si>
  <si>
    <t>Tata, Kossuth tér városközpont értékmegőrző rehabilitációja KDOP-3.1.1/A-09-2f-2011-0001</t>
  </si>
  <si>
    <t>„A gyermekétkeztetés feltételeit javító fejlesztések támogatására” elnevezésű pályázat önerő 230/2015. (V.28.) Tata Kt. határozat</t>
  </si>
  <si>
    <t>Kertvárosi Sport és Szabadidőközpont kialakítása - Önkormányzati feladatellátást szolgáló fejlesztések támogatása” elnevezésű pályázat önerő 262/2015. (VI.25.) Tata Kt. Határozat</t>
  </si>
  <si>
    <t>Riasztórendszer a Kiskastélyba</t>
  </si>
  <si>
    <t>Közfoglalkoztatáshoz eszközök</t>
  </si>
  <si>
    <t>8 db tábla a 2014. évi Holokauszt megemlékezésre - áthúzódó számla</t>
  </si>
  <si>
    <t>Felfújható kapu a Minimarathonra</t>
  </si>
  <si>
    <t>Ökoturisztikai tanösvényre szelektív hulladékgyűjtők</t>
  </si>
  <si>
    <t>Komáromi u. - Kőkút köz - Május 1. út vízvezeték kiváltásának kiviteli terve</t>
  </si>
  <si>
    <t>Sport utcai fejlesztéshez kapcsolódó vízvezeték kiváltásának kiviteli terve</t>
  </si>
  <si>
    <t>Fényes-fürdőre eszköz vásárlások 2014-ről áthúzódó</t>
  </si>
  <si>
    <t>Helyőrségi klub eszközeinek vételára</t>
  </si>
  <si>
    <t>Piac téri kiszolgáló út megvalósítása érdekében épület bontás</t>
  </si>
  <si>
    <t>Kövilágítás kiépítése a Naplókert utcában</t>
  </si>
  <si>
    <t>Parkoló építés (parkoló építési hozzájárulásból)</t>
  </si>
  <si>
    <t>Személygépkocsi beszerzés a Tatai Kistérségi Társulástól</t>
  </si>
  <si>
    <t>Tatai Geszti Óvoda Agostyáni Tagintézménye - eszközvásárlás</t>
  </si>
  <si>
    <t>Vaszary János Általános Iskola Jázmin utcai Tagintézménye - tárgyi eszköz vásárlás</t>
  </si>
  <si>
    <t>Kőkút utcai Általános Iskola - tárgyi eszköz vásárlás</t>
  </si>
  <si>
    <t>Kőkút utcai Általános Iskola Fazekas utcai Tagintézménye - tárgyi eszköz vásárlás</t>
  </si>
  <si>
    <t>Kálvária u. 5. szám alatti ingatlan felújítása 229/2015. (V.28.) Tata Kt. határozat</t>
  </si>
  <si>
    <t>Klímaberendezés vásárlása a hivatal épületébe</t>
  </si>
  <si>
    <t>Kőkúti Általános Iskola Fazekas utcai Tagintézménye - Alsó szint járólapozása, bejárati lépcső burkolat cseréje, sátor villanyszerelés</t>
  </si>
  <si>
    <t>Kossuth tér városközpont értékmegőrző rehabilitációja KDOP-3.1.1/A-09-2f-2011-0001</t>
  </si>
  <si>
    <t>Tűz- és katasztrófavédelmi tevékenységek</t>
  </si>
  <si>
    <t>Érdekképviseleti, szakszervezeti tevékenységek támogatása</t>
  </si>
  <si>
    <t>Önkormányzat ifjúsági kezdeményezések és programok</t>
  </si>
  <si>
    <t>Fejlesztési célú hitel kiváltása</t>
  </si>
  <si>
    <t xml:space="preserve"> - Felhalmozási tartalék, melyből 27 075 E Ft felhasználása a bevétel beérkezéséhez kötött</t>
  </si>
  <si>
    <t>Játszóterek felújítása, bekerítése és bővítése új eszközökkel, homokozók kialakítása, 5×18 lakás térvilágítás, Építők parkja kerítés építés,burkolatok, köztéri berendezések, ping pong asztal, parkosítás,focipálya kialakítása, Lovardai játszótér felújítása, Bacsó B ltp, Levendula ltp.-i ivó kutak létesítése, Agostyán játszóvár összeszerelése, minősítése)</t>
  </si>
  <si>
    <t>Várudvari villamos hálózat felújítása ( erőátviteli, dísz-és közvilágítás)</t>
  </si>
  <si>
    <t>Kastély téri támfal felújítása</t>
  </si>
  <si>
    <t>- Magyary Zoltán Népfőiskolai Társaság</t>
  </si>
  <si>
    <t>- Mozgáskorlátozottak Komárom-Esztergom Megyei Egyesületének</t>
  </si>
  <si>
    <t>- Komárom-Esztergom Megyei Diáksport és Szabadidő Egyesületnek</t>
  </si>
  <si>
    <t>- Camelot Kutyás Egyesületnek</t>
  </si>
  <si>
    <t>- Magyar Honvédség 25. Klapka Lövészdandárnak</t>
  </si>
  <si>
    <t>- Tatai és Térségbeli Lovaséletfejlesztő Szövetségnek</t>
  </si>
  <si>
    <t>Mód. (XII.16.)</t>
  </si>
  <si>
    <t>Mód.
(XII.16.)</t>
  </si>
  <si>
    <t>Lehívható központi támogatás Mód. (XII.16.)</t>
  </si>
  <si>
    <t>Mód. (XII.16.)
250.000 E Ft
6,1 % kamat</t>
  </si>
  <si>
    <t>Mód. (XII.16.)
650.000 E Ft
3,49 % kamat</t>
  </si>
  <si>
    <t xml:space="preserve">Mód. (XII.16.)
összesen
</t>
  </si>
  <si>
    <t>Mód. (XII.16.)
Összeg</t>
  </si>
  <si>
    <t>- Peter Cerney Alapítvány támogatása</t>
  </si>
  <si>
    <t>- Közlekedési támogatás tanulóknak</t>
  </si>
  <si>
    <t>- Lakhatási kiadásokhoz kapcsolódó tartozást felhalmozó személyek részére</t>
  </si>
  <si>
    <t>Bejáró tanulók utáni étkezési hozzájárulás fizetése</t>
  </si>
  <si>
    <t>Tatai Városgazda Nonprofit Kft. támogatása (Kossuth téri projekthez: 26 418)</t>
  </si>
  <si>
    <t>Tatai Városi Nyugdíjas klub támogatása</t>
  </si>
  <si>
    <t>Középnyugat-magyarországi Közlekedési Központ Zrt. részére veszteség kiegyenlítésre (ebből 2014. évről áthúzódó kötelezettség: 7 726 E Ft és helyi közösségi közlekedés támogatására 5 216 E Ft)</t>
  </si>
  <si>
    <t>Rákóczi Szövetség támogatása 419/2015. (XI.4.) Tata Kt. határozat</t>
  </si>
  <si>
    <t>- Cirmos Cica Közhasznú Alapítványnak</t>
  </si>
  <si>
    <t>Háztartásoknak nyújtott támogatás</t>
  </si>
  <si>
    <t>Felhalmozási célú támogatások államháztartáson belülre visszatérítendő</t>
  </si>
  <si>
    <t>Felhalmozási célú támogatások visszatérítendő összesen:</t>
  </si>
  <si>
    <t>„Barátságépítők”c. Erasmus+ projekt támogatása</t>
  </si>
  <si>
    <t>Bethlen Alap támogatása 13. Tatai Tehetséggondozó művészeti táborra</t>
  </si>
  <si>
    <t>Nemzeti Fejlesztési Minisztérium támogatása autómentes napra</t>
  </si>
  <si>
    <t>Nyári diákmunka támogatása Munkaügyi Központtól</t>
  </si>
  <si>
    <t>Alkmaars Uitwisselings Comité támogatása alkmaari gyermekolimpiára</t>
  </si>
  <si>
    <t>Decemberi mód.</t>
  </si>
  <si>
    <t>Bercsényi u. 7. szám alatti ingatlanból 945/1095 tuljadoni hányad megvásárlása 2015. évi részlet 331/2015. (VIII.24.) Tata Kt. határozat, 396/2015. (X.16.) Tata Kt. határozat</t>
  </si>
  <si>
    <t>Tata makettjának elkészítése</t>
  </si>
  <si>
    <t>Magyary Zoltán Művelődési Központba fénytachnikai eszközök vásárlása</t>
  </si>
  <si>
    <t>Kiskastélyba kis értékű eszközök</t>
  </si>
  <si>
    <t>Vaszary villába eszközök beszerzése, kerítés építése</t>
  </si>
  <si>
    <t>Fényesi hivatali üdülőbe konyhabútor beszerzés</t>
  </si>
  <si>
    <t>Hajdú utca csapadékvíz elvezetésének kiviteli terve</t>
  </si>
  <si>
    <t>Hősök tere locsoló vízmérő kiviteli terve</t>
  </si>
  <si>
    <t>József A. u. csapadékvíz elvezetésének kiviteli terve</t>
  </si>
  <si>
    <t>Fáklya u. csapadékvíz elvezetésének kiviteli terve</t>
  </si>
  <si>
    <t>Komáromi u. 52. szennyvíz bekötés tervezése</t>
  </si>
  <si>
    <t>Közterület-felügyelet eszköz beszerzés</t>
  </si>
  <si>
    <t>Magyary Zoltán Művelődési Központ tetőszerkezet felújítás 353/2015. (X.1.) Tata Kt. határozat</t>
  </si>
  <si>
    <t>Mária Immaculata szobor felújítása 356/2015. (X.1.) Tata Kt. határozat</t>
  </si>
  <si>
    <t>Hivatali lift programozása</t>
  </si>
  <si>
    <t>Intézmények Gazdasági Hivatalához tartozó önállóan működő intézmények 2015. évi költségvetése</t>
  </si>
  <si>
    <t>Intézmények Gazdasági Hivatalához tartozó  önállóan működő intézmények 2015. évi költségvetése</t>
  </si>
  <si>
    <t>Költségvetési alcím megnevezése</t>
  </si>
  <si>
    <t>Feladat jellege</t>
  </si>
  <si>
    <t>Felhalmozási bevétel</t>
  </si>
  <si>
    <t>Saját bevételek</t>
  </si>
  <si>
    <t>Bevételek mindösszesen</t>
  </si>
  <si>
    <t>Szolgáltatások bevétele</t>
  </si>
  <si>
    <t>Finanszírozás</t>
  </si>
  <si>
    <t>Dologiból ellátottakra vonatkozó élelmiszer beszerzés és vásárolt élelmezés</t>
  </si>
  <si>
    <t>Pénzmaradvány átadás</t>
  </si>
  <si>
    <t>össz</t>
  </si>
  <si>
    <t>Fürdő utcai Óvoda</t>
  </si>
  <si>
    <t xml:space="preserve">V. hó </t>
  </si>
  <si>
    <t>IX. hó</t>
  </si>
  <si>
    <t>XII.hó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</si>
  <si>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</si>
  <si>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</si>
  <si>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</si>
  <si>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</si>
  <si>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</si>
  <si>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</si>
  <si>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Bölcsöde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</si>
  <si>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</si>
  <si>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</si>
  <si>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</si>
  <si>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</si>
  <si>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</si>
  <si>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</si>
  <si>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</si>
  <si>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</si>
  <si>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</si>
  <si>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</si>
  <si>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Intézmények Gazdasági Hivatala</t>
  </si>
  <si>
    <t>Önként vállalt feladat</t>
  </si>
  <si>
    <t>Iskolák és IGH összesen</t>
  </si>
  <si>
    <t>Könyvtár</t>
  </si>
  <si>
    <t>Egészségügyi Alapellátó Intézmény</t>
  </si>
  <si>
    <t>Kvi. alcímek és szakf. Összesen:</t>
  </si>
  <si>
    <t>IGH feladatkörébe tartozó kötelező feladatok</t>
  </si>
  <si>
    <t>IGH feladatkörébe tartozó önként vállalt  feladatok</t>
  </si>
  <si>
    <t>Irányító szerv javára  teljesített befizetések</t>
  </si>
  <si>
    <t>Irányító szerv javára teljesített befizetések</t>
  </si>
  <si>
    <t>Mód. (XII.16.)
166.394 E Ft
2,3% kamat</t>
  </si>
  <si>
    <t>Tata Város Önkormányzatának 2015. évi</t>
  </si>
  <si>
    <t xml:space="preserve">általános működési és ágazati feladatainak támogatásáról </t>
  </si>
  <si>
    <t>Törvény- javaslat hivatk.sz.</t>
  </si>
  <si>
    <t>Jogcímek megnevezése</t>
  </si>
  <si>
    <t>Bevétel 2014. év</t>
  </si>
  <si>
    <t>Bevétel 2015. év</t>
  </si>
  <si>
    <t>Mutató</t>
  </si>
  <si>
    <t>Fajlagos összeg Ft/mutató</t>
  </si>
  <si>
    <t>Összeg (Ft)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</si>
  <si>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1"/>
      </rPr>
      <t>Ft-ban</t>
    </r>
  </si>
  <si>
    <t>Eredeti Előirányzat      E Ft-ban</t>
  </si>
  <si>
    <r>
      <t xml:space="preserve">Módosított Előirányzat </t>
    </r>
    <r>
      <rPr>
        <sz val="10"/>
        <rFont val="Times New Roman CE"/>
        <family val="0"/>
      </rPr>
      <t xml:space="preserve">2015. május     </t>
    </r>
    <r>
      <rPr>
        <sz val="12"/>
        <rFont val="Times New Roman CE"/>
        <family val="1"/>
      </rPr>
      <t xml:space="preserve"> E Ft-ban</t>
    </r>
  </si>
  <si>
    <r>
      <t xml:space="preserve">Módosított Előirányzat </t>
    </r>
    <r>
      <rPr>
        <sz val="10"/>
        <rFont val="Times New Roman CE"/>
        <family val="0"/>
      </rPr>
      <t xml:space="preserve">2015. szeptember     </t>
    </r>
    <r>
      <rPr>
        <sz val="12"/>
        <rFont val="Times New Roman CE"/>
        <family val="1"/>
      </rPr>
      <t xml:space="preserve"> E Ft-ban</t>
    </r>
  </si>
  <si>
    <r>
      <t xml:space="preserve">Módosított Előirányzat </t>
    </r>
    <r>
      <rPr>
        <sz val="10"/>
        <rFont val="Times New Roman CE"/>
        <family val="0"/>
      </rPr>
      <t xml:space="preserve">2015. december          </t>
    </r>
    <r>
      <rPr>
        <sz val="12"/>
        <rFont val="Times New Roman CE"/>
        <family val="1"/>
      </rPr>
      <t xml:space="preserve"> E Ft-ban</t>
    </r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</si>
  <si>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</si>
  <si>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</si>
  <si>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</si>
  <si>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</si>
  <si>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</si>
  <si>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</si>
  <si>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</si>
  <si>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</si>
  <si>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</si>
  <si>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</si>
  <si>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</si>
  <si>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</si>
  <si>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</si>
  <si>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km</t>
  </si>
  <si>
    <t>I.1.bc)</t>
  </si>
  <si>
    <t>Köztemető fenntartással kapcsolatos feladatok támogatása</t>
  </si>
  <si>
    <t>m2</t>
  </si>
  <si>
    <t>104 Ft/m2</t>
  </si>
  <si>
    <t>I.1.bd)</t>
  </si>
  <si>
    <t>Közutak fenntartásának támogatása</t>
  </si>
  <si>
    <t>295 000 Ft/km</t>
  </si>
  <si>
    <t>Település-üzemeltetéshez kapcsolódó feladatellátás támogatása összesen</t>
  </si>
  <si>
    <t>I.1.c)</t>
  </si>
  <si>
    <t>Egyéb önkormányzati feladat támogatása (adóerő képesség 1 lakosra 37 255 Ft)</t>
  </si>
  <si>
    <t>I.1.d)</t>
  </si>
  <si>
    <t>Lakott külterülettel kapcsolatos feladatok támogatása</t>
  </si>
  <si>
    <t>2550 Ft/ külter.lakos</t>
  </si>
  <si>
    <t>I.1.e)</t>
  </si>
  <si>
    <t>Üdülőhelyi feladatok támogatása</t>
  </si>
  <si>
    <t>Ft</t>
  </si>
  <si>
    <t>1,55 Ft/ idegenfor.adóft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</si>
  <si>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</si>
  <si>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</si>
  <si>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</si>
  <si>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</si>
  <si>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</si>
  <si>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</si>
  <si>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 xml:space="preserve">I. 6. </t>
  </si>
  <si>
    <t>A 2014. évről áthúzódó bérkompenzáció támogatása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</si>
  <si>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</si>
  <si>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</si>
  <si>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</si>
  <si>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</si>
  <si>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2015/2016-ra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</si>
  <si>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</si>
  <si>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</si>
  <si>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</si>
  <si>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</si>
  <si>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</si>
  <si>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</si>
  <si>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</si>
  <si>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</si>
  <si>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Óvodaműk. támogatás 4 hónapra: gyermekek nevelése a napi 8 órát eléri</t>
  </si>
  <si>
    <t>Óvodaműködtetési támogatás összesen</t>
  </si>
  <si>
    <t>II.4.</t>
  </si>
  <si>
    <t>A köznevelési intézmények működtetéséhez kapcsolódó támogatás</t>
  </si>
  <si>
    <t>II.5.</t>
  </si>
  <si>
    <t>Kiegészítő támogatás az óvodapedagógusok minősítéséből adódó többletkiadásokhoz</t>
  </si>
  <si>
    <t>Alapfokú végzettségű Ped. II. kategóriába sorolt</t>
  </si>
  <si>
    <t>352 000 Ft/fő/11hó</t>
  </si>
  <si>
    <t>Alapfokú végzettségű Mesterped. Kategóriába sorolt</t>
  </si>
  <si>
    <t>Ft/fő</t>
  </si>
  <si>
    <t>1 286 000 Ft/fő/11hó</t>
  </si>
  <si>
    <t>Mesterfokú végzettségű Ped. II. kategóriába sorolt</t>
  </si>
  <si>
    <t>386 000 Ft/fő/11hó</t>
  </si>
  <si>
    <t>Mesterfokú végzettségű Mesterped. Kategóriába sorolt</t>
  </si>
  <si>
    <t>1 415 000 Ft/fő/11hó</t>
  </si>
  <si>
    <t>2.mell. II.</t>
  </si>
  <si>
    <t>A települési önkormányzatok egyes köznevelési feladatainak támogatása</t>
  </si>
  <si>
    <t>III.1.</t>
  </si>
  <si>
    <t>Pénzbeli szociális ellátások kiegészítése</t>
  </si>
  <si>
    <t>III.3.</t>
  </si>
  <si>
    <t>Egyes szociális és gyermekjóléti feladatok támogatása</t>
  </si>
  <si>
    <t>III.3.aa)</t>
  </si>
  <si>
    <t>Szociális és gyermekjóléti alapszolgáltatások általános feladatai (társult formában)</t>
  </si>
  <si>
    <t>lakos/fő</t>
  </si>
  <si>
    <t>III.3.ad)</t>
  </si>
  <si>
    <t>Társulási kiegészítés családsegítésre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</si>
  <si>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1"/>
      </rPr>
      <t>0-17 éves korcsoportos lakosokra</t>
    </r>
  </si>
  <si>
    <t>III.a)</t>
  </si>
  <si>
    <t>Szociális és gyermekjóléti alapszolgáltatások általános feladatai összesen</t>
  </si>
  <si>
    <t>III.3.c)</t>
  </si>
  <si>
    <t>Szociális étkeztetés - társulási kiegészítéssel (55 360 Ft 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</si>
  <si>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</si>
  <si>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</si>
  <si>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</si>
  <si>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</si>
  <si>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</si>
  <si>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</si>
  <si>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</si>
  <si>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</si>
  <si>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</si>
  <si>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</si>
  <si>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</si>
  <si>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 xml:space="preserve">Bölcsődei ellátás - nem fogyatékos, nem hátrányos helyzetű gyermek 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</si>
  <si>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</si>
  <si>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</si>
  <si>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</si>
  <si>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</si>
  <si>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</si>
  <si>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</si>
  <si>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</si>
  <si>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</si>
  <si>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</si>
  <si>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</si>
  <si>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</si>
  <si>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</si>
  <si>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</si>
  <si>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</si>
  <si>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</si>
  <si>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</si>
  <si>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 xml:space="preserve">Finanszírozás szempontjából elismert dolgozók bértámogatása </t>
  </si>
  <si>
    <t>fő/év</t>
  </si>
  <si>
    <t>III.5.b)</t>
  </si>
  <si>
    <t>Gyermekétkeztetés üzemeltetési támogatása</t>
  </si>
  <si>
    <t>Táblázat alatt Megjegyzésben magyarázat</t>
  </si>
  <si>
    <t>Gyermekétkeztetés támogatása összesen</t>
  </si>
  <si>
    <t>III.6.</t>
  </si>
  <si>
    <t>Szociális ágazati pótlék</t>
  </si>
  <si>
    <t>igénylés szerint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</si>
  <si>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</si>
  <si>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</si>
  <si>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</si>
  <si>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</si>
  <si>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</t>
  </si>
  <si>
    <t>Könyvtári, közművelődési és múzeumi feladatok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</si>
  <si>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</si>
  <si>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</si>
  <si>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</si>
  <si>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</si>
  <si>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IV.1.i)</t>
  </si>
  <si>
    <t>A települési önkormányzatok könyvtári célú érdekeltségnövelő támogatása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</si>
  <si>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</si>
  <si>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</si>
  <si>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</si>
  <si>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</si>
  <si>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1"/>
      </rPr>
      <t xml:space="preserve">2013. évi </t>
    </r>
    <r>
      <rPr>
        <sz val="12"/>
        <rFont val="Times New Roman CE"/>
        <family val="1"/>
      </rPr>
      <t>iparűzési adóalap 0,55 %-a</t>
    </r>
  </si>
  <si>
    <t>0,5 %</t>
  </si>
  <si>
    <t>0,55 %</t>
  </si>
  <si>
    <t>Differenciálás: Támogatás csökkentés 100 % lenne, az adóerő-képesség miatt, de közös hivatal székhelye miatt 10 %-kal csökkenthető, ezért 90 % a támogatás csökkentés.</t>
  </si>
  <si>
    <t>csökk.</t>
  </si>
  <si>
    <t>95 %</t>
  </si>
  <si>
    <t>10 % csökk.</t>
  </si>
  <si>
    <t>90 %</t>
  </si>
  <si>
    <t>2.mell. V.</t>
  </si>
  <si>
    <r>
      <t xml:space="preserve">Támogatás csökkentés a következő </t>
    </r>
    <r>
      <rPr>
        <b/>
        <sz val="12"/>
        <rFont val="Times New Roman CE"/>
        <family val="1"/>
      </rPr>
      <t>sorrend szerint</t>
    </r>
    <r>
      <rPr>
        <sz val="12"/>
        <rFont val="Times New Roman CE"/>
        <family val="1"/>
      </rPr>
      <t xml:space="preserve"> I.1.c), I.1.d), I.1.e), I.1.ba),  I.1.bb),  I.1.bc),  I.1.bd),  I.1.a) támogatás összegéig terheli az önkormányzatot.</t>
    </r>
  </si>
  <si>
    <t>2. melléklet jogcímeihez ÁLLAMI TÁMOGATÁS MINDÖSSZESEN</t>
  </si>
  <si>
    <t>Visszatérő forrásokkal kapcsolatos beruházás</t>
  </si>
  <si>
    <t>V. hó mód.</t>
  </si>
  <si>
    <t>Átvett működési célra</t>
  </si>
  <si>
    <t>Támogatás értékű működési célra</t>
  </si>
  <si>
    <t>Átvett felhalmozási célra</t>
  </si>
  <si>
    <t>Támogatásértékű felhalmozási célra</t>
  </si>
  <si>
    <t>Pénzmaradvány átvétel</t>
  </si>
  <si>
    <t>Pénzforalom nélküli</t>
  </si>
  <si>
    <t>Előző évi átvétele</t>
  </si>
  <si>
    <t>Munkaadókat terhelő járulék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</si>
</sst>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 CE"/>
      <family val="0"/>
    </font>
    <font>
      <b/>
      <u val="single"/>
      <sz val="10"/>
      <name val="Times New Roman CE"/>
      <family val="0"/>
    </font>
    <font>
      <b/>
      <i/>
      <u val="single"/>
      <sz val="10"/>
      <name val="Times New Roman"/>
      <family val="1"/>
    </font>
    <font>
      <b/>
      <sz val="12"/>
      <name val="Arial CE"/>
      <family val="2"/>
    </font>
    <font>
      <b/>
      <sz val="16"/>
      <color indexed="10"/>
      <name val="Times New Roman CE"/>
      <family val="1"/>
    </font>
    <font>
      <b/>
      <i/>
      <sz val="12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63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double"/>
      <top style="double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ck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32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top" wrapText="1"/>
    </xf>
    <xf numFmtId="3" fontId="22" fillId="0" borderId="16" xfId="0" applyNumberFormat="1" applyFont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15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right"/>
    </xf>
    <xf numFmtId="0" fontId="20" fillId="0" borderId="17" xfId="0" applyFont="1" applyBorder="1" applyAlignment="1">
      <alignment vertical="top" wrapText="1"/>
    </xf>
    <xf numFmtId="3" fontId="20" fillId="0" borderId="18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100">
      <alignment/>
      <protection/>
    </xf>
    <xf numFmtId="3" fontId="25" fillId="0" borderId="0" xfId="100" applyNumberFormat="1">
      <alignment/>
      <protection/>
    </xf>
    <xf numFmtId="0" fontId="27" fillId="0" borderId="0" xfId="100" applyFont="1">
      <alignment/>
      <protection/>
    </xf>
    <xf numFmtId="0" fontId="28" fillId="0" borderId="15" xfId="100" applyFont="1" applyBorder="1" applyAlignment="1">
      <alignment wrapText="1"/>
      <protection/>
    </xf>
    <xf numFmtId="0" fontId="25" fillId="0" borderId="0" xfId="100" applyFont="1">
      <alignment/>
      <protection/>
    </xf>
    <xf numFmtId="0" fontId="28" fillId="0" borderId="0" xfId="100" applyFont="1" applyBorder="1">
      <alignment/>
      <protection/>
    </xf>
    <xf numFmtId="0" fontId="27" fillId="0" borderId="0" xfId="100" applyFont="1">
      <alignment/>
      <protection/>
    </xf>
    <xf numFmtId="0" fontId="30" fillId="0" borderId="15" xfId="100" applyFont="1" applyBorder="1" applyAlignment="1">
      <alignment wrapText="1"/>
      <protection/>
    </xf>
    <xf numFmtId="3" fontId="25" fillId="0" borderId="0" xfId="100" applyNumberFormat="1" applyBorder="1">
      <alignment/>
      <protection/>
    </xf>
    <xf numFmtId="0" fontId="25" fillId="0" borderId="0" xfId="100" applyAlignment="1">
      <alignment wrapText="1"/>
      <protection/>
    </xf>
    <xf numFmtId="0" fontId="30" fillId="0" borderId="13" xfId="100" applyFont="1" applyBorder="1" applyAlignment="1">
      <alignment wrapText="1"/>
      <protection/>
    </xf>
    <xf numFmtId="3" fontId="25" fillId="0" borderId="0" xfId="100" applyNumberFormat="1" applyAlignment="1">
      <alignment horizontal="left" wrapText="1"/>
      <protection/>
    </xf>
    <xf numFmtId="0" fontId="30" fillId="0" borderId="0" xfId="100" applyFont="1" applyBorder="1" applyAlignment="1">
      <alignment wrapText="1"/>
      <protection/>
    </xf>
    <xf numFmtId="0" fontId="34" fillId="0" borderId="15" xfId="100" applyFont="1" applyBorder="1" applyAlignment="1">
      <alignment wrapText="1"/>
      <protection/>
    </xf>
    <xf numFmtId="0" fontId="33" fillId="0" borderId="0" xfId="100" applyFont="1">
      <alignment/>
      <protection/>
    </xf>
    <xf numFmtId="0" fontId="29" fillId="0" borderId="15" xfId="100" applyFont="1" applyBorder="1" applyAlignment="1">
      <alignment wrapText="1"/>
      <protection/>
    </xf>
    <xf numFmtId="0" fontId="26" fillId="0" borderId="0" xfId="100" applyFont="1">
      <alignment/>
      <protection/>
    </xf>
    <xf numFmtId="0" fontId="35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 wrapText="1"/>
    </xf>
    <xf numFmtId="0" fontId="20" fillId="0" borderId="0" xfId="104" applyFont="1">
      <alignment/>
      <protection/>
    </xf>
    <xf numFmtId="0" fontId="39" fillId="0" borderId="0" xfId="104" applyFont="1">
      <alignment/>
      <protection/>
    </xf>
    <xf numFmtId="0" fontId="22" fillId="0" borderId="0" xfId="104" applyFont="1">
      <alignment/>
      <protection/>
    </xf>
    <xf numFmtId="0" fontId="22" fillId="0" borderId="0" xfId="104" applyFont="1" applyBorder="1">
      <alignment/>
      <protection/>
    </xf>
    <xf numFmtId="0" fontId="39" fillId="0" borderId="0" xfId="109" applyFont="1">
      <alignment/>
      <protection/>
    </xf>
    <xf numFmtId="0" fontId="39" fillId="0" borderId="0" xfId="104" applyFont="1" applyBorder="1">
      <alignment/>
      <protection/>
    </xf>
    <xf numFmtId="3" fontId="38" fillId="0" borderId="0" xfId="104" applyNumberFormat="1" applyFont="1" applyBorder="1">
      <alignment/>
      <protection/>
    </xf>
    <xf numFmtId="3" fontId="42" fillId="0" borderId="0" xfId="104" applyNumberFormat="1" applyFont="1" applyAlignment="1">
      <alignment/>
      <protection/>
    </xf>
    <xf numFmtId="3" fontId="42" fillId="0" borderId="0" xfId="104" applyNumberFormat="1" applyFont="1">
      <alignment/>
      <protection/>
    </xf>
    <xf numFmtId="0" fontId="30" fillId="0" borderId="0" xfId="99" applyFont="1" applyAlignment="1">
      <alignment horizontal="center"/>
      <protection/>
    </xf>
    <xf numFmtId="0" fontId="32" fillId="0" borderId="0" xfId="99" applyFont="1" applyAlignment="1">
      <alignment horizontal="center"/>
      <protection/>
    </xf>
    <xf numFmtId="0" fontId="28" fillId="0" borderId="0" xfId="99" applyFont="1" applyAlignment="1">
      <alignment/>
      <protection/>
    </xf>
    <xf numFmtId="0" fontId="28" fillId="0" borderId="0" xfId="99" applyFont="1">
      <alignment/>
      <protection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19" xfId="0" applyFont="1" applyBorder="1" applyAlignment="1">
      <alignment horizontal="justify" vertical="top" wrapText="1"/>
    </xf>
    <xf numFmtId="0" fontId="28" fillId="0" borderId="15" xfId="0" applyFont="1" applyBorder="1" applyAlignment="1">
      <alignment horizontal="justify" vertical="top" wrapText="1"/>
    </xf>
    <xf numFmtId="0" fontId="47" fillId="0" borderId="0" xfId="0" applyFont="1" applyAlignment="1">
      <alignment horizontal="justify"/>
    </xf>
    <xf numFmtId="165" fontId="28" fillId="0" borderId="0" xfId="0" applyNumberFormat="1" applyFont="1" applyAlignment="1">
      <alignment/>
    </xf>
    <xf numFmtId="0" fontId="31" fillId="0" borderId="0" xfId="0" applyFont="1" applyAlignment="1">
      <alignment horizontal="justify"/>
    </xf>
    <xf numFmtId="0" fontId="30" fillId="0" borderId="0" xfId="0" applyFont="1" applyAlignment="1">
      <alignment/>
    </xf>
    <xf numFmtId="0" fontId="26" fillId="0" borderId="0" xfId="100" applyFont="1" applyBorder="1">
      <alignment/>
      <protection/>
    </xf>
    <xf numFmtId="0" fontId="30" fillId="0" borderId="17" xfId="100" applyFont="1" applyBorder="1" applyAlignment="1">
      <alignment wrapText="1"/>
      <protection/>
    </xf>
    <xf numFmtId="0" fontId="49" fillId="0" borderId="0" xfId="102" applyFont="1" applyFill="1" applyBorder="1" applyAlignment="1">
      <alignment horizontal="center" vertical="center"/>
      <protection/>
    </xf>
    <xf numFmtId="0" fontId="28" fillId="0" borderId="0" xfId="102" applyFont="1" applyFill="1">
      <alignment/>
      <protection/>
    </xf>
    <xf numFmtId="0" fontId="28" fillId="0" borderId="0" xfId="102" applyFont="1" applyFill="1" applyBorder="1">
      <alignment/>
      <protection/>
    </xf>
    <xf numFmtId="0" fontId="50" fillId="0" borderId="0" xfId="105" applyFont="1" applyFill="1" applyBorder="1" applyAlignment="1">
      <alignment horizontal="center" vertical="center"/>
      <protection/>
    </xf>
    <xf numFmtId="3" fontId="28" fillId="0" borderId="0" xfId="102" applyNumberFormat="1" applyFont="1" applyFill="1">
      <alignment/>
      <protection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3" fontId="20" fillId="0" borderId="20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38" fillId="0" borderId="15" xfId="0" applyFont="1" applyBorder="1" applyAlignment="1">
      <alignment horizontal="left"/>
    </xf>
    <xf numFmtId="0" fontId="52" fillId="0" borderId="16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39" fillId="0" borderId="0" xfId="104" applyFont="1" applyAlignment="1">
      <alignment wrapText="1"/>
      <protection/>
    </xf>
    <xf numFmtId="0" fontId="39" fillId="0" borderId="0" xfId="109" applyFont="1" applyAlignment="1">
      <alignment wrapText="1"/>
      <protection/>
    </xf>
    <xf numFmtId="0" fontId="38" fillId="0" borderId="0" xfId="104" applyFont="1" applyAlignment="1">
      <alignment horizontal="center" wrapText="1"/>
      <protection/>
    </xf>
    <xf numFmtId="0" fontId="38" fillId="0" borderId="0" xfId="104" applyFont="1" applyBorder="1" applyAlignment="1">
      <alignment wrapText="1"/>
      <protection/>
    </xf>
    <xf numFmtId="0" fontId="42" fillId="0" borderId="0" xfId="104" applyFont="1" applyAlignment="1">
      <alignment wrapText="1"/>
      <protection/>
    </xf>
    <xf numFmtId="0" fontId="46" fillId="0" borderId="0" xfId="108" applyFont="1">
      <alignment/>
      <protection/>
    </xf>
    <xf numFmtId="0" fontId="56" fillId="0" borderId="0" xfId="108" applyFont="1">
      <alignment/>
      <protection/>
    </xf>
    <xf numFmtId="0" fontId="45" fillId="0" borderId="0" xfId="108" applyFont="1">
      <alignment/>
      <protection/>
    </xf>
    <xf numFmtId="3" fontId="46" fillId="0" borderId="0" xfId="108" applyNumberFormat="1" applyFont="1">
      <alignment/>
      <protection/>
    </xf>
    <xf numFmtId="0" fontId="22" fillId="0" borderId="15" xfId="0" applyFont="1" applyBorder="1" applyAlignment="1">
      <alignment/>
    </xf>
    <xf numFmtId="3" fontId="20" fillId="0" borderId="21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/>
    </xf>
    <xf numFmtId="0" fontId="52" fillId="0" borderId="16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49" fontId="22" fillId="0" borderId="16" xfId="0" applyNumberFormat="1" applyFont="1" applyBorder="1" applyAlignment="1">
      <alignment horizontal="left" wrapText="1"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43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9" fillId="0" borderId="0" xfId="100" applyFont="1" applyBorder="1" applyAlignment="1">
      <alignment wrapText="1"/>
      <protection/>
    </xf>
    <xf numFmtId="3" fontId="30" fillId="0" borderId="0" xfId="100" applyNumberFormat="1" applyFont="1" applyBorder="1">
      <alignment/>
      <protection/>
    </xf>
    <xf numFmtId="3" fontId="46" fillId="0" borderId="0" xfId="108" applyNumberFormat="1" applyFont="1" applyBorder="1">
      <alignment/>
      <protection/>
    </xf>
    <xf numFmtId="0" fontId="48" fillId="0" borderId="0" xfId="108" applyFont="1">
      <alignment/>
      <protection/>
    </xf>
    <xf numFmtId="3" fontId="46" fillId="0" borderId="16" xfId="107" applyNumberFormat="1" applyFont="1" applyBorder="1" applyAlignment="1">
      <alignment vertical="center"/>
      <protection/>
    </xf>
    <xf numFmtId="3" fontId="48" fillId="0" borderId="16" xfId="107" applyNumberFormat="1" applyFont="1" applyBorder="1" applyAlignment="1">
      <alignment vertical="center"/>
      <protection/>
    </xf>
    <xf numFmtId="3" fontId="45" fillId="0" borderId="18" xfId="107" applyNumberFormat="1" applyFont="1" applyBorder="1" applyAlignment="1">
      <alignment vertical="center"/>
      <protection/>
    </xf>
    <xf numFmtId="3" fontId="45" fillId="0" borderId="22" xfId="107" applyNumberFormat="1" applyFont="1" applyBorder="1" applyAlignment="1">
      <alignment vertical="center"/>
      <protection/>
    </xf>
    <xf numFmtId="49" fontId="25" fillId="0" borderId="0" xfId="100" applyNumberFormat="1">
      <alignment/>
      <protection/>
    </xf>
    <xf numFmtId="49" fontId="27" fillId="0" borderId="0" xfId="100" applyNumberFormat="1" applyFont="1">
      <alignment/>
      <protection/>
    </xf>
    <xf numFmtId="49" fontId="25" fillId="0" borderId="0" xfId="100" applyNumberFormat="1" applyFont="1">
      <alignment/>
      <protection/>
    </xf>
    <xf numFmtId="49" fontId="33" fillId="0" borderId="0" xfId="100" applyNumberFormat="1" applyFont="1">
      <alignment/>
      <protection/>
    </xf>
    <xf numFmtId="49" fontId="26" fillId="0" borderId="0" xfId="100" applyNumberFormat="1" applyFont="1">
      <alignment/>
      <protection/>
    </xf>
    <xf numFmtId="49" fontId="27" fillId="0" borderId="0" xfId="100" applyNumberFormat="1" applyFont="1">
      <alignment/>
      <protection/>
    </xf>
    <xf numFmtId="49" fontId="25" fillId="0" borderId="0" xfId="100" applyNumberFormat="1" applyFont="1">
      <alignment/>
      <protection/>
    </xf>
    <xf numFmtId="0" fontId="43" fillId="0" borderId="0" xfId="0" applyFont="1" applyAlignment="1">
      <alignment/>
    </xf>
    <xf numFmtId="0" fontId="28" fillId="0" borderId="0" xfId="0" applyFont="1" applyAlignment="1">
      <alignment/>
    </xf>
    <xf numFmtId="3" fontId="32" fillId="0" borderId="16" xfId="0" applyNumberFormat="1" applyFont="1" applyBorder="1" applyAlignment="1">
      <alignment/>
    </xf>
    <xf numFmtId="0" fontId="31" fillId="0" borderId="0" xfId="0" applyFont="1" applyAlignment="1">
      <alignment/>
    </xf>
    <xf numFmtId="3" fontId="32" fillId="0" borderId="18" xfId="0" applyNumberFormat="1" applyFont="1" applyBorder="1" applyAlignment="1">
      <alignment/>
    </xf>
    <xf numFmtId="0" fontId="32" fillId="0" borderId="0" xfId="0" applyFont="1" applyAlignment="1">
      <alignment/>
    </xf>
    <xf numFmtId="49" fontId="26" fillId="0" borderId="0" xfId="100" applyNumberFormat="1" applyFont="1">
      <alignment/>
      <protection/>
    </xf>
    <xf numFmtId="49" fontId="26" fillId="0" borderId="0" xfId="100" applyNumberFormat="1" applyFont="1" applyBorder="1">
      <alignment/>
      <protection/>
    </xf>
    <xf numFmtId="0" fontId="30" fillId="0" borderId="0" xfId="100" applyFont="1" applyBorder="1" applyAlignment="1">
      <alignment wrapText="1"/>
      <protection/>
    </xf>
    <xf numFmtId="3" fontId="30" fillId="0" borderId="0" xfId="100" applyNumberFormat="1" applyFont="1" applyBorder="1">
      <alignment/>
      <protection/>
    </xf>
    <xf numFmtId="0" fontId="25" fillId="0" borderId="0" xfId="100" applyAlignment="1">
      <alignment horizontal="left" wrapText="1"/>
      <protection/>
    </xf>
    <xf numFmtId="3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2" fillId="0" borderId="23" xfId="0" applyFont="1" applyBorder="1" applyAlignment="1">
      <alignment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3" fontId="32" fillId="0" borderId="16" xfId="0" applyNumberFormat="1" applyFont="1" applyBorder="1" applyAlignment="1">
      <alignment horizontal="right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/>
    </xf>
    <xf numFmtId="3" fontId="55" fillId="0" borderId="16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32" fillId="0" borderId="15" xfId="0" applyFont="1" applyBorder="1" applyAlignment="1">
      <alignment wrapText="1"/>
    </xf>
    <xf numFmtId="0" fontId="32" fillId="0" borderId="15" xfId="0" applyFont="1" applyBorder="1" applyAlignment="1">
      <alignment/>
    </xf>
    <xf numFmtId="3" fontId="54" fillId="0" borderId="16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3" fontId="31" fillId="0" borderId="16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wrapText="1"/>
    </xf>
    <xf numFmtId="0" fontId="31" fillId="0" borderId="15" xfId="0" applyFont="1" applyBorder="1" applyAlignment="1">
      <alignment shrinkToFit="1"/>
    </xf>
    <xf numFmtId="3" fontId="31" fillId="0" borderId="15" xfId="0" applyNumberFormat="1" applyFont="1" applyBorder="1" applyAlignment="1">
      <alignment shrinkToFit="1"/>
    </xf>
    <xf numFmtId="3" fontId="32" fillId="0" borderId="15" xfId="0" applyNumberFormat="1" applyFont="1" applyBorder="1" applyAlignment="1">
      <alignment shrinkToFit="1"/>
    </xf>
    <xf numFmtId="3" fontId="32" fillId="0" borderId="15" xfId="0" applyNumberFormat="1" applyFont="1" applyBorder="1" applyAlignment="1">
      <alignment wrapText="1"/>
    </xf>
    <xf numFmtId="3" fontId="31" fillId="0" borderId="15" xfId="0" applyNumberFormat="1" applyFont="1" applyBorder="1" applyAlignment="1">
      <alignment wrapText="1"/>
    </xf>
    <xf numFmtId="3" fontId="32" fillId="0" borderId="15" xfId="0" applyNumberFormat="1" applyFont="1" applyBorder="1" applyAlignment="1">
      <alignment vertical="center" wrapText="1"/>
    </xf>
    <xf numFmtId="3" fontId="32" fillId="0" borderId="17" xfId="0" applyNumberFormat="1" applyFont="1" applyBorder="1" applyAlignment="1">
      <alignment shrinkToFit="1"/>
    </xf>
    <xf numFmtId="0" fontId="28" fillId="0" borderId="15" xfId="100" applyFont="1" applyFill="1" applyBorder="1" applyAlignment="1">
      <alignment wrapText="1"/>
      <protection/>
    </xf>
    <xf numFmtId="3" fontId="39" fillId="0" borderId="0" xfId="104" applyNumberFormat="1" applyFont="1" applyAlignment="1">
      <alignment wrapText="1"/>
      <protection/>
    </xf>
    <xf numFmtId="0" fontId="38" fillId="0" borderId="0" xfId="104" applyFont="1" applyAlignment="1">
      <alignment wrapText="1"/>
      <protection/>
    </xf>
    <xf numFmtId="3" fontId="38" fillId="0" borderId="0" xfId="104" applyNumberFormat="1" applyFont="1">
      <alignment/>
      <protection/>
    </xf>
    <xf numFmtId="0" fontId="45" fillId="0" borderId="0" xfId="107" applyFont="1" applyBorder="1" applyAlignment="1">
      <alignment vertical="center"/>
      <protection/>
    </xf>
    <xf numFmtId="3" fontId="45" fillId="0" borderId="0" xfId="107" applyNumberFormat="1" applyFont="1" applyBorder="1" applyAlignment="1">
      <alignment vertical="center"/>
      <protection/>
    </xf>
    <xf numFmtId="3" fontId="45" fillId="0" borderId="16" xfId="107" applyNumberFormat="1" applyFont="1" applyBorder="1" applyAlignment="1">
      <alignment vertical="center"/>
      <protection/>
    </xf>
    <xf numFmtId="3" fontId="45" fillId="0" borderId="20" xfId="107" applyNumberFormat="1" applyFont="1" applyBorder="1" applyAlignment="1">
      <alignment vertical="center"/>
      <protection/>
    </xf>
    <xf numFmtId="3" fontId="48" fillId="0" borderId="20" xfId="107" applyNumberFormat="1" applyFont="1" applyBorder="1" applyAlignment="1">
      <alignment vertical="center"/>
      <protection/>
    </xf>
    <xf numFmtId="3" fontId="48" fillId="0" borderId="16" xfId="108" applyNumberFormat="1" applyFont="1" applyBorder="1">
      <alignment/>
      <protection/>
    </xf>
    <xf numFmtId="3" fontId="46" fillId="0" borderId="16" xfId="108" applyNumberFormat="1" applyFont="1" applyBorder="1">
      <alignment/>
      <protection/>
    </xf>
    <xf numFmtId="3" fontId="45" fillId="0" borderId="25" xfId="107" applyNumberFormat="1" applyFont="1" applyBorder="1" applyAlignment="1">
      <alignment vertical="center"/>
      <protection/>
    </xf>
    <xf numFmtId="3" fontId="45" fillId="0" borderId="26" xfId="107" applyNumberFormat="1" applyFont="1" applyBorder="1" applyAlignment="1">
      <alignment vertical="center"/>
      <protection/>
    </xf>
    <xf numFmtId="0" fontId="28" fillId="0" borderId="0" xfId="101" applyFont="1">
      <alignment/>
      <protection/>
    </xf>
    <xf numFmtId="0" fontId="29" fillId="0" borderId="0" xfId="101" applyFont="1">
      <alignment/>
      <protection/>
    </xf>
    <xf numFmtId="0" fontId="28" fillId="0" borderId="15" xfId="101" applyFont="1" applyBorder="1">
      <alignment/>
      <protection/>
    </xf>
    <xf numFmtId="0" fontId="28" fillId="0" borderId="15" xfId="101" applyFont="1" applyBorder="1" applyAlignment="1">
      <alignment horizontal="left" vertical="center" wrapText="1"/>
      <protection/>
    </xf>
    <xf numFmtId="0" fontId="25" fillId="0" borderId="0" xfId="101" applyFont="1">
      <alignment/>
      <protection/>
    </xf>
    <xf numFmtId="0" fontId="19" fillId="0" borderId="23" xfId="0" applyFont="1" applyBorder="1" applyAlignment="1">
      <alignment/>
    </xf>
    <xf numFmtId="0" fontId="28" fillId="0" borderId="23" xfId="0" applyFont="1" applyBorder="1" applyAlignment="1">
      <alignment/>
    </xf>
    <xf numFmtId="0" fontId="20" fillId="0" borderId="15" xfId="0" applyFont="1" applyBorder="1" applyAlignment="1">
      <alignment/>
    </xf>
    <xf numFmtId="0" fontId="36" fillId="0" borderId="23" xfId="0" applyFont="1" applyBorder="1" applyAlignment="1">
      <alignment wrapText="1"/>
    </xf>
    <xf numFmtId="0" fontId="20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/>
    </xf>
    <xf numFmtId="3" fontId="20" fillId="0" borderId="29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52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3" fontId="39" fillId="0" borderId="34" xfId="104" applyNumberFormat="1" applyFont="1" applyBorder="1">
      <alignment/>
      <protection/>
    </xf>
    <xf numFmtId="3" fontId="39" fillId="0" borderId="35" xfId="104" applyNumberFormat="1" applyFont="1" applyBorder="1">
      <alignment/>
      <protection/>
    </xf>
    <xf numFmtId="0" fontId="20" fillId="0" borderId="33" xfId="104" applyFont="1" applyBorder="1">
      <alignment/>
      <protection/>
    </xf>
    <xf numFmtId="0" fontId="22" fillId="0" borderId="33" xfId="104" applyFont="1" applyBorder="1">
      <alignment/>
      <protection/>
    </xf>
    <xf numFmtId="0" fontId="22" fillId="0" borderId="36" xfId="104" applyFont="1" applyBorder="1">
      <alignment/>
      <protection/>
    </xf>
    <xf numFmtId="0" fontId="22" fillId="0" borderId="37" xfId="104" applyFont="1" applyBorder="1">
      <alignment/>
      <protection/>
    </xf>
    <xf numFmtId="3" fontId="55" fillId="0" borderId="28" xfId="0" applyNumberFormat="1" applyFont="1" applyBorder="1" applyAlignment="1">
      <alignment horizontal="right" vertical="center" wrapText="1"/>
    </xf>
    <xf numFmtId="3" fontId="31" fillId="0" borderId="28" xfId="0" applyNumberFormat="1" applyFont="1" applyBorder="1" applyAlignment="1">
      <alignment horizontal="right" vertical="center" wrapText="1"/>
    </xf>
    <xf numFmtId="3" fontId="54" fillId="0" borderId="28" xfId="0" applyNumberFormat="1" applyFont="1" applyBorder="1" applyAlignment="1">
      <alignment horizontal="right" vertical="center" wrapText="1"/>
    </xf>
    <xf numFmtId="3" fontId="54" fillId="0" borderId="28" xfId="0" applyNumberFormat="1" applyFont="1" applyBorder="1" applyAlignment="1">
      <alignment/>
    </xf>
    <xf numFmtId="3" fontId="31" fillId="0" borderId="28" xfId="0" applyNumberFormat="1" applyFont="1" applyBorder="1" applyAlignment="1">
      <alignment/>
    </xf>
    <xf numFmtId="3" fontId="32" fillId="0" borderId="28" xfId="0" applyNumberFormat="1" applyFont="1" applyBorder="1" applyAlignment="1">
      <alignment/>
    </xf>
    <xf numFmtId="3" fontId="38" fillId="0" borderId="37" xfId="0" applyNumberFormat="1" applyFont="1" applyBorder="1" applyAlignment="1">
      <alignment horizontal="center" vertical="center" wrapText="1"/>
    </xf>
    <xf numFmtId="0" fontId="38" fillId="0" borderId="37" xfId="104" applyFont="1" applyBorder="1" applyAlignment="1">
      <alignment horizontal="center"/>
      <protection/>
    </xf>
    <xf numFmtId="3" fontId="35" fillId="0" borderId="16" xfId="0" applyNumberFormat="1" applyFont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left" wrapText="1"/>
    </xf>
    <xf numFmtId="0" fontId="51" fillId="0" borderId="16" xfId="102" applyFont="1" applyFill="1" applyBorder="1" applyAlignment="1">
      <alignment horizontal="center" vertical="center" wrapText="1"/>
      <protection/>
    </xf>
    <xf numFmtId="0" fontId="28" fillId="0" borderId="16" xfId="102" applyFont="1" applyFill="1" applyBorder="1" applyAlignment="1">
      <alignment vertical="center" wrapText="1"/>
      <protection/>
    </xf>
    <xf numFmtId="3" fontId="28" fillId="0" borderId="16" xfId="102" applyNumberFormat="1" applyFont="1" applyFill="1" applyBorder="1" applyAlignment="1">
      <alignment vertical="center"/>
      <protection/>
    </xf>
    <xf numFmtId="0" fontId="30" fillId="0" borderId="16" xfId="102" applyFont="1" applyFill="1" applyBorder="1" applyAlignment="1">
      <alignment vertical="center" wrapText="1"/>
      <protection/>
    </xf>
    <xf numFmtId="3" fontId="30" fillId="0" borderId="16" xfId="102" applyNumberFormat="1" applyFont="1" applyFill="1" applyBorder="1" applyAlignment="1">
      <alignment vertical="center"/>
      <protection/>
    </xf>
    <xf numFmtId="0" fontId="28" fillId="0" borderId="15" xfId="102" applyFont="1" applyFill="1" applyBorder="1" applyAlignment="1">
      <alignment horizontal="center" vertical="center" wrapText="1"/>
      <protection/>
    </xf>
    <xf numFmtId="3" fontId="28" fillId="0" borderId="20" xfId="102" applyNumberFormat="1" applyFont="1" applyFill="1" applyBorder="1" applyAlignment="1">
      <alignment vertical="center"/>
      <protection/>
    </xf>
    <xf numFmtId="0" fontId="30" fillId="0" borderId="15" xfId="102" applyFont="1" applyFill="1" applyBorder="1" applyAlignment="1">
      <alignment horizontal="center" vertical="center" wrapText="1"/>
      <protection/>
    </xf>
    <xf numFmtId="3" fontId="30" fillId="0" borderId="20" xfId="102" applyNumberFormat="1" applyFont="1" applyFill="1" applyBorder="1" applyAlignment="1">
      <alignment vertical="center"/>
      <protection/>
    </xf>
    <xf numFmtId="3" fontId="30" fillId="0" borderId="20" xfId="102" applyNumberFormat="1" applyFont="1" applyFill="1" applyBorder="1" applyAlignment="1">
      <alignment horizontal="right" vertical="center"/>
      <protection/>
    </xf>
    <xf numFmtId="0" fontId="51" fillId="0" borderId="14" xfId="102" applyFont="1" applyFill="1" applyBorder="1" applyAlignment="1">
      <alignment horizontal="center" vertical="center"/>
      <protection/>
    </xf>
    <xf numFmtId="3" fontId="30" fillId="0" borderId="15" xfId="102" applyNumberFormat="1" applyFont="1" applyFill="1" applyBorder="1" applyAlignment="1">
      <alignment horizontal="center" vertical="center"/>
      <protection/>
    </xf>
    <xf numFmtId="0" fontId="28" fillId="0" borderId="17" xfId="102" applyFont="1" applyFill="1" applyBorder="1">
      <alignment/>
      <protection/>
    </xf>
    <xf numFmtId="3" fontId="28" fillId="0" borderId="16" xfId="100" applyNumberFormat="1" applyFont="1" applyBorder="1">
      <alignment/>
      <protection/>
    </xf>
    <xf numFmtId="3" fontId="30" fillId="0" borderId="16" xfId="100" applyNumberFormat="1" applyFont="1" applyBorder="1">
      <alignment/>
      <protection/>
    </xf>
    <xf numFmtId="3" fontId="34" fillId="0" borderId="16" xfId="100" applyNumberFormat="1" applyFont="1" applyBorder="1">
      <alignment/>
      <protection/>
    </xf>
    <xf numFmtId="3" fontId="30" fillId="0" borderId="14" xfId="100" applyNumberFormat="1" applyFont="1" applyBorder="1" applyAlignment="1">
      <alignment horizontal="center"/>
      <protection/>
    </xf>
    <xf numFmtId="0" fontId="25" fillId="0" borderId="0" xfId="100" applyBorder="1" applyAlignment="1">
      <alignment wrapText="1"/>
      <protection/>
    </xf>
    <xf numFmtId="3" fontId="20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3" fontId="59" fillId="0" borderId="14" xfId="0" applyNumberFormat="1" applyFont="1" applyBorder="1" applyAlignment="1">
      <alignment horizontal="center" vertical="center" wrapText="1"/>
    </xf>
    <xf numFmtId="3" fontId="29" fillId="0" borderId="16" xfId="100" applyNumberFormat="1" applyFont="1" applyBorder="1">
      <alignment/>
      <protection/>
    </xf>
    <xf numFmtId="3" fontId="30" fillId="0" borderId="18" xfId="100" applyNumberFormat="1" applyFont="1" applyBorder="1">
      <alignment/>
      <protection/>
    </xf>
    <xf numFmtId="2" fontId="28" fillId="0" borderId="16" xfId="0" applyNumberFormat="1" applyFont="1" applyBorder="1" applyAlignment="1">
      <alignment horizontal="center" vertical="top" wrapText="1"/>
    </xf>
    <xf numFmtId="2" fontId="43" fillId="0" borderId="16" xfId="0" applyNumberFormat="1" applyFont="1" applyBorder="1" applyAlignment="1">
      <alignment horizontal="center" vertical="top" wrapText="1"/>
    </xf>
    <xf numFmtId="2" fontId="34" fillId="0" borderId="16" xfId="0" applyNumberFormat="1" applyFont="1" applyBorder="1" applyAlignment="1">
      <alignment horizontal="center" vertical="top" wrapText="1"/>
    </xf>
    <xf numFmtId="2" fontId="30" fillId="0" borderId="16" xfId="0" applyNumberFormat="1" applyFont="1" applyBorder="1" applyAlignment="1">
      <alignment horizontal="center" vertical="top" wrapText="1"/>
    </xf>
    <xf numFmtId="2" fontId="28" fillId="0" borderId="16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center" vertical="top" wrapText="1"/>
    </xf>
    <xf numFmtId="0" fontId="28" fillId="0" borderId="20" xfId="0" applyFont="1" applyBorder="1" applyAlignment="1">
      <alignment/>
    </xf>
    <xf numFmtId="0" fontId="43" fillId="0" borderId="15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justify" vertical="top" wrapText="1"/>
    </xf>
    <xf numFmtId="0" fontId="30" fillId="0" borderId="15" xfId="0" applyFont="1" applyBorder="1" applyAlignment="1">
      <alignment horizontal="justify" vertical="top" wrapText="1"/>
    </xf>
    <xf numFmtId="0" fontId="28" fillId="0" borderId="15" xfId="0" applyFont="1" applyBorder="1" applyAlignment="1" quotePrefix="1">
      <alignment horizontal="justify" vertical="top" wrapText="1"/>
    </xf>
    <xf numFmtId="49" fontId="28" fillId="0" borderId="15" xfId="0" applyNumberFormat="1" applyFont="1" applyBorder="1" applyAlignment="1">
      <alignment horizontal="justify" vertical="top" wrapText="1"/>
    </xf>
    <xf numFmtId="0" fontId="30" fillId="0" borderId="17" xfId="0" applyFont="1" applyBorder="1" applyAlignment="1">
      <alignment horizontal="justify" vertical="top" wrapText="1"/>
    </xf>
    <xf numFmtId="2" fontId="30" fillId="0" borderId="18" xfId="0" applyNumberFormat="1" applyFont="1" applyBorder="1" applyAlignment="1">
      <alignment horizontal="center" vertical="top" wrapText="1"/>
    </xf>
    <xf numFmtId="2" fontId="28" fillId="0" borderId="25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/>
    </xf>
    <xf numFmtId="2" fontId="30" fillId="0" borderId="18" xfId="0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45" fillId="0" borderId="38" xfId="107" applyFont="1" applyBorder="1" applyAlignment="1">
      <alignment horizontal="center" vertical="center" wrapText="1"/>
      <protection/>
    </xf>
    <xf numFmtId="0" fontId="45" fillId="0" borderId="39" xfId="107" applyFont="1" applyBorder="1" applyAlignment="1">
      <alignment horizontal="center" vertical="center" wrapText="1"/>
      <protection/>
    </xf>
    <xf numFmtId="3" fontId="48" fillId="0" borderId="14" xfId="107" applyNumberFormat="1" applyFont="1" applyBorder="1" applyAlignment="1">
      <alignment horizontal="right" vertical="center" wrapText="1"/>
      <protection/>
    </xf>
    <xf numFmtId="3" fontId="48" fillId="0" borderId="13" xfId="107" applyNumberFormat="1" applyFont="1" applyBorder="1" applyAlignment="1">
      <alignment horizontal="right" vertical="center" wrapText="1"/>
      <protection/>
    </xf>
    <xf numFmtId="3" fontId="48" fillId="0" borderId="40" xfId="107" applyNumberFormat="1" applyFont="1" applyBorder="1" applyAlignment="1">
      <alignment horizontal="right" vertical="center" wrapText="1"/>
      <protection/>
    </xf>
    <xf numFmtId="3" fontId="46" fillId="0" borderId="15" xfId="108" applyNumberFormat="1" applyFont="1" applyBorder="1" applyAlignment="1">
      <alignment vertical="center"/>
      <protection/>
    </xf>
    <xf numFmtId="3" fontId="46" fillId="0" borderId="20" xfId="107" applyNumberFormat="1" applyFont="1" applyBorder="1" applyAlignment="1">
      <alignment vertical="center"/>
      <protection/>
    </xf>
    <xf numFmtId="3" fontId="48" fillId="0" borderId="15" xfId="108" applyNumberFormat="1" applyFont="1" applyBorder="1" applyAlignment="1">
      <alignment vertical="center"/>
      <protection/>
    </xf>
    <xf numFmtId="3" fontId="45" fillId="0" borderId="17" xfId="107" applyNumberFormat="1" applyFont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25" fillId="0" borderId="0" xfId="100" applyNumberFormat="1" applyFill="1">
      <alignment/>
      <protection/>
    </xf>
    <xf numFmtId="0" fontId="25" fillId="0" borderId="0" xfId="100" applyFill="1">
      <alignment/>
      <protection/>
    </xf>
    <xf numFmtId="0" fontId="25" fillId="0" borderId="0" xfId="100" applyFill="1" applyAlignment="1">
      <alignment wrapText="1"/>
      <protection/>
    </xf>
    <xf numFmtId="3" fontId="25" fillId="0" borderId="0" xfId="100" applyNumberFormat="1" applyFill="1">
      <alignment/>
      <protection/>
    </xf>
    <xf numFmtId="3" fontId="25" fillId="42" borderId="0" xfId="100" applyNumberFormat="1" applyFill="1">
      <alignment/>
      <protection/>
    </xf>
    <xf numFmtId="0" fontId="28" fillId="0" borderId="0" xfId="100" applyFont="1" applyFill="1">
      <alignment/>
      <protection/>
    </xf>
    <xf numFmtId="49" fontId="27" fillId="0" borderId="0" xfId="100" applyNumberFormat="1" applyFont="1" applyFill="1">
      <alignment/>
      <protection/>
    </xf>
    <xf numFmtId="0" fontId="30" fillId="0" borderId="13" xfId="100" applyFont="1" applyFill="1" applyBorder="1" applyAlignment="1">
      <alignment wrapText="1"/>
      <protection/>
    </xf>
    <xf numFmtId="3" fontId="30" fillId="0" borderId="14" xfId="100" applyNumberFormat="1" applyFont="1" applyFill="1" applyBorder="1" applyAlignment="1">
      <alignment horizontal="center"/>
      <protection/>
    </xf>
    <xf numFmtId="0" fontId="58" fillId="0" borderId="14" xfId="100" applyFont="1" applyFill="1" applyBorder="1">
      <alignment/>
      <protection/>
    </xf>
    <xf numFmtId="0" fontId="27" fillId="0" borderId="14" xfId="100" applyFont="1" applyFill="1" applyBorder="1">
      <alignment/>
      <protection/>
    </xf>
    <xf numFmtId="3" fontId="30" fillId="42" borderId="14" xfId="100" applyNumberFormat="1" applyFont="1" applyFill="1" applyBorder="1" applyAlignment="1">
      <alignment horizontal="center" wrapText="1"/>
      <protection/>
    </xf>
    <xf numFmtId="0" fontId="27" fillId="0" borderId="0" xfId="100" applyFont="1" applyFill="1">
      <alignment/>
      <protection/>
    </xf>
    <xf numFmtId="3" fontId="28" fillId="0" borderId="16" xfId="100" applyNumberFormat="1" applyFont="1" applyFill="1" applyBorder="1">
      <alignment/>
      <protection/>
    </xf>
    <xf numFmtId="0" fontId="25" fillId="0" borderId="16" xfId="100" applyFill="1" applyBorder="1">
      <alignment/>
      <protection/>
    </xf>
    <xf numFmtId="3" fontId="28" fillId="42" borderId="16" xfId="100" applyNumberFormat="1" applyFont="1" applyFill="1" applyBorder="1">
      <alignment/>
      <protection/>
    </xf>
    <xf numFmtId="0" fontId="30" fillId="0" borderId="15" xfId="100" applyFont="1" applyFill="1" applyBorder="1" applyAlignment="1">
      <alignment wrapText="1"/>
      <protection/>
    </xf>
    <xf numFmtId="3" fontId="30" fillId="0" borderId="16" xfId="100" applyNumberFormat="1" applyFont="1" applyFill="1" applyBorder="1">
      <alignment/>
      <protection/>
    </xf>
    <xf numFmtId="3" fontId="30" fillId="42" borderId="16" xfId="100" applyNumberFormat="1" applyFont="1" applyFill="1" applyBorder="1">
      <alignment/>
      <protection/>
    </xf>
    <xf numFmtId="3" fontId="25" fillId="0" borderId="16" xfId="100" applyNumberFormat="1" applyFont="1" applyFill="1" applyBorder="1">
      <alignment/>
      <protection/>
    </xf>
    <xf numFmtId="49" fontId="25" fillId="0" borderId="0" xfId="100" applyNumberFormat="1" applyFont="1" applyFill="1">
      <alignment/>
      <protection/>
    </xf>
    <xf numFmtId="0" fontId="25" fillId="0" borderId="0" xfId="100" applyFont="1" applyFill="1">
      <alignment/>
      <protection/>
    </xf>
    <xf numFmtId="0" fontId="25" fillId="0" borderId="16" xfId="100" applyFont="1" applyFill="1" applyBorder="1">
      <alignment/>
      <protection/>
    </xf>
    <xf numFmtId="0" fontId="34" fillId="0" borderId="15" xfId="100" applyFont="1" applyFill="1" applyBorder="1" applyAlignment="1">
      <alignment wrapText="1"/>
      <protection/>
    </xf>
    <xf numFmtId="3" fontId="34" fillId="0" borderId="16" xfId="100" applyNumberFormat="1" applyFont="1" applyFill="1" applyBorder="1">
      <alignment/>
      <protection/>
    </xf>
    <xf numFmtId="3" fontId="34" fillId="42" borderId="16" xfId="100" applyNumberFormat="1" applyFont="1" applyFill="1" applyBorder="1">
      <alignment/>
      <protection/>
    </xf>
    <xf numFmtId="49" fontId="33" fillId="0" borderId="0" xfId="100" applyNumberFormat="1" applyFont="1" applyFill="1">
      <alignment/>
      <protection/>
    </xf>
    <xf numFmtId="0" fontId="33" fillId="0" borderId="0" xfId="100" applyFont="1" applyFill="1">
      <alignment/>
      <protection/>
    </xf>
    <xf numFmtId="0" fontId="27" fillId="0" borderId="16" xfId="100" applyFont="1" applyFill="1" applyBorder="1">
      <alignment/>
      <protection/>
    </xf>
    <xf numFmtId="0" fontId="29" fillId="0" borderId="17" xfId="100" applyFont="1" applyFill="1" applyBorder="1" applyAlignment="1">
      <alignment wrapText="1"/>
      <protection/>
    </xf>
    <xf numFmtId="3" fontId="30" fillId="0" borderId="18" xfId="100" applyNumberFormat="1" applyFont="1" applyFill="1" applyBorder="1">
      <alignment/>
      <protection/>
    </xf>
    <xf numFmtId="3" fontId="30" fillId="42" borderId="18" xfId="100" applyNumberFormat="1" applyFont="1" applyFill="1" applyBorder="1">
      <alignment/>
      <protection/>
    </xf>
    <xf numFmtId="49" fontId="26" fillId="0" borderId="0" xfId="100" applyNumberFormat="1" applyFont="1" applyFill="1">
      <alignment/>
      <protection/>
    </xf>
    <xf numFmtId="3" fontId="25" fillId="0" borderId="0" xfId="100" applyNumberFormat="1" applyFont="1" applyFill="1">
      <alignment/>
      <protection/>
    </xf>
    <xf numFmtId="0" fontId="26" fillId="0" borderId="0" xfId="100" applyFont="1" applyFill="1">
      <alignment/>
      <protection/>
    </xf>
    <xf numFmtId="0" fontId="29" fillId="0" borderId="0" xfId="100" applyFont="1" applyFill="1">
      <alignment/>
      <protection/>
    </xf>
    <xf numFmtId="3" fontId="25" fillId="0" borderId="0" xfId="100" applyNumberFormat="1" applyFill="1" applyAlignment="1">
      <alignment horizontal="left" wrapText="1"/>
      <protection/>
    </xf>
    <xf numFmtId="49" fontId="28" fillId="0" borderId="0" xfId="100" applyNumberFormat="1" applyFont="1" applyFill="1">
      <alignment/>
      <protection/>
    </xf>
    <xf numFmtId="3" fontId="28" fillId="0" borderId="0" xfId="100" applyNumberFormat="1" applyFont="1" applyFill="1" applyAlignment="1">
      <alignment horizontal="left" wrapText="1"/>
      <protection/>
    </xf>
    <xf numFmtId="3" fontId="28" fillId="0" borderId="0" xfId="100" applyNumberFormat="1" applyFont="1" applyFill="1">
      <alignment/>
      <protection/>
    </xf>
    <xf numFmtId="3" fontId="28" fillId="42" borderId="0" xfId="100" applyNumberFormat="1" applyFont="1" applyFill="1">
      <alignment/>
      <protection/>
    </xf>
    <xf numFmtId="0" fontId="28" fillId="0" borderId="0" xfId="100" applyFont="1" applyFill="1" applyAlignment="1">
      <alignment wrapText="1"/>
      <protection/>
    </xf>
    <xf numFmtId="3" fontId="25" fillId="0" borderId="0" xfId="100" applyNumberFormat="1" applyFill="1" applyBorder="1">
      <alignment/>
      <protection/>
    </xf>
    <xf numFmtId="3" fontId="25" fillId="42" borderId="0" xfId="100" applyNumberFormat="1" applyFill="1" applyBorder="1">
      <alignment/>
      <protection/>
    </xf>
    <xf numFmtId="0" fontId="25" fillId="0" borderId="0" xfId="100" applyFill="1" applyBorder="1" applyAlignment="1">
      <alignment horizontal="left" wrapText="1"/>
      <protection/>
    </xf>
    <xf numFmtId="3" fontId="48" fillId="0" borderId="41" xfId="107" applyNumberFormat="1" applyFont="1" applyBorder="1" applyAlignment="1">
      <alignment horizontal="left" vertical="center" wrapText="1"/>
      <protection/>
    </xf>
    <xf numFmtId="3" fontId="46" fillId="0" borderId="24" xfId="108" applyNumberFormat="1" applyFont="1" applyBorder="1" applyAlignment="1">
      <alignment vertical="center" wrapText="1"/>
      <protection/>
    </xf>
    <xf numFmtId="3" fontId="48" fillId="0" borderId="24" xfId="108" applyNumberFormat="1" applyFont="1" applyBorder="1" applyAlignment="1">
      <alignment vertical="center" wrapText="1"/>
      <protection/>
    </xf>
    <xf numFmtId="3" fontId="45" fillId="0" borderId="42" xfId="107" applyNumberFormat="1" applyFont="1" applyBorder="1" applyAlignment="1">
      <alignment vertical="center"/>
      <protection/>
    </xf>
    <xf numFmtId="3" fontId="48" fillId="0" borderId="0" xfId="107" applyNumberFormat="1" applyFont="1" applyBorder="1" applyAlignment="1">
      <alignment horizontal="center" vertical="center"/>
      <protection/>
    </xf>
    <xf numFmtId="3" fontId="45" fillId="0" borderId="18" xfId="107" applyNumberFormat="1" applyFont="1" applyBorder="1" applyAlignment="1">
      <alignment horizontal="center" vertical="center" wrapText="1"/>
      <protection/>
    </xf>
    <xf numFmtId="3" fontId="45" fillId="0" borderId="22" xfId="107" applyNumberFormat="1" applyFont="1" applyBorder="1" applyAlignment="1">
      <alignment horizontal="center" vertical="center" wrapText="1"/>
      <protection/>
    </xf>
    <xf numFmtId="3" fontId="45" fillId="0" borderId="19" xfId="107" applyNumberFormat="1" applyFont="1" applyBorder="1" applyAlignment="1">
      <alignment vertical="center"/>
      <protection/>
    </xf>
    <xf numFmtId="3" fontId="48" fillId="0" borderId="15" xfId="107" applyNumberFormat="1" applyFont="1" applyBorder="1" applyAlignment="1">
      <alignment vertical="center"/>
      <protection/>
    </xf>
    <xf numFmtId="3" fontId="45" fillId="0" borderId="15" xfId="107" applyNumberFormat="1" applyFont="1" applyBorder="1" applyAlignment="1">
      <alignment vertical="center"/>
      <protection/>
    </xf>
    <xf numFmtId="3" fontId="28" fillId="0" borderId="16" xfId="99" applyNumberFormat="1" applyFont="1" applyBorder="1" applyAlignment="1">
      <alignment horizontal="right"/>
      <protection/>
    </xf>
    <xf numFmtId="3" fontId="30" fillId="0" borderId="16" xfId="99" applyNumberFormat="1" applyFont="1" applyBorder="1" applyAlignment="1">
      <alignment horizontal="right"/>
      <protection/>
    </xf>
    <xf numFmtId="0" fontId="28" fillId="0" borderId="16" xfId="99" applyFont="1" applyBorder="1">
      <alignment/>
      <protection/>
    </xf>
    <xf numFmtId="0" fontId="30" fillId="0" borderId="14" xfId="99" applyFont="1" applyBorder="1" applyAlignment="1">
      <alignment horizontal="center" vertical="center" wrapText="1"/>
      <protection/>
    </xf>
    <xf numFmtId="0" fontId="30" fillId="0" borderId="40" xfId="99" applyFont="1" applyBorder="1" applyAlignment="1">
      <alignment horizontal="center" vertical="center" wrapText="1"/>
      <protection/>
    </xf>
    <xf numFmtId="0" fontId="28" fillId="0" borderId="15" xfId="99" applyFont="1" applyBorder="1">
      <alignment/>
      <protection/>
    </xf>
    <xf numFmtId="0" fontId="28" fillId="0" borderId="15" xfId="99" applyFont="1" applyBorder="1" applyAlignment="1">
      <alignment horizontal="left"/>
      <protection/>
    </xf>
    <xf numFmtId="0" fontId="28" fillId="0" borderId="17" xfId="99" applyFont="1" applyBorder="1" applyAlignment="1">
      <alignment horizontal="left"/>
      <protection/>
    </xf>
    <xf numFmtId="0" fontId="28" fillId="0" borderId="18" xfId="99" applyFont="1" applyBorder="1">
      <alignment/>
      <protection/>
    </xf>
    <xf numFmtId="3" fontId="28" fillId="0" borderId="18" xfId="99" applyNumberFormat="1" applyFont="1" applyBorder="1" applyAlignment="1">
      <alignment horizontal="right"/>
      <protection/>
    </xf>
    <xf numFmtId="3" fontId="30" fillId="0" borderId="18" xfId="99" applyNumberFormat="1" applyFont="1" applyBorder="1" applyAlignment="1">
      <alignment horizontal="right"/>
      <protection/>
    </xf>
    <xf numFmtId="0" fontId="30" fillId="0" borderId="16" xfId="101" applyFont="1" applyBorder="1" applyAlignment="1">
      <alignment horizontal="center" wrapText="1"/>
      <protection/>
    </xf>
    <xf numFmtId="3" fontId="30" fillId="0" borderId="16" xfId="101" applyNumberFormat="1" applyFont="1" applyBorder="1">
      <alignment/>
      <protection/>
    </xf>
    <xf numFmtId="0" fontId="30" fillId="0" borderId="16" xfId="101" applyFont="1" applyBorder="1" applyAlignment="1">
      <alignment wrapText="1"/>
      <protection/>
    </xf>
    <xf numFmtId="3" fontId="28" fillId="0" borderId="16" xfId="101" applyNumberFormat="1" applyFont="1" applyBorder="1">
      <alignment/>
      <protection/>
    </xf>
    <xf numFmtId="0" fontId="28" fillId="0" borderId="16" xfId="101" applyFont="1" applyBorder="1" applyAlignment="1">
      <alignment wrapText="1"/>
      <protection/>
    </xf>
    <xf numFmtId="0" fontId="30" fillId="0" borderId="15" xfId="101" applyFont="1" applyBorder="1">
      <alignment/>
      <protection/>
    </xf>
    <xf numFmtId="0" fontId="30" fillId="0" borderId="17" xfId="101" applyFont="1" applyBorder="1">
      <alignment/>
      <protection/>
    </xf>
    <xf numFmtId="3" fontId="30" fillId="0" borderId="18" xfId="101" applyNumberFormat="1" applyFont="1" applyBorder="1">
      <alignment/>
      <protection/>
    </xf>
    <xf numFmtId="0" fontId="30" fillId="0" borderId="18" xfId="101" applyFont="1" applyBorder="1">
      <alignment/>
      <protection/>
    </xf>
    <xf numFmtId="0" fontId="30" fillId="0" borderId="16" xfId="101" applyFont="1" applyBorder="1" applyAlignment="1">
      <alignment horizontal="left" vertical="center"/>
      <protection/>
    </xf>
    <xf numFmtId="3" fontId="30" fillId="0" borderId="16" xfId="101" applyNumberFormat="1" applyFont="1" applyBorder="1" applyAlignment="1">
      <alignment horizontal="right" vertical="center"/>
      <protection/>
    </xf>
    <xf numFmtId="0" fontId="28" fillId="0" borderId="16" xfId="101" applyFont="1" applyBorder="1" applyAlignment="1">
      <alignment horizontal="left" vertical="center" wrapText="1"/>
      <protection/>
    </xf>
    <xf numFmtId="3" fontId="28" fillId="0" borderId="16" xfId="101" applyNumberFormat="1" applyFont="1" applyBorder="1" applyAlignment="1">
      <alignment horizontal="right" vertical="center"/>
      <protection/>
    </xf>
    <xf numFmtId="0" fontId="30" fillId="0" borderId="15" xfId="101" applyFont="1" applyBorder="1" applyAlignment="1">
      <alignment horizontal="left" vertical="center"/>
      <protection/>
    </xf>
    <xf numFmtId="0" fontId="30" fillId="0" borderId="17" xfId="101" applyFont="1" applyBorder="1" applyAlignment="1">
      <alignment horizontal="left" vertical="center"/>
      <protection/>
    </xf>
    <xf numFmtId="3" fontId="30" fillId="0" borderId="18" xfId="101" applyNumberFormat="1" applyFont="1" applyBorder="1" applyAlignment="1">
      <alignment horizontal="right" vertical="center"/>
      <protection/>
    </xf>
    <xf numFmtId="0" fontId="30" fillId="0" borderId="18" xfId="101" applyFont="1" applyBorder="1" applyAlignment="1">
      <alignment horizontal="left" vertical="center"/>
      <protection/>
    </xf>
    <xf numFmtId="3" fontId="45" fillId="0" borderId="16" xfId="108" applyNumberFormat="1" applyFont="1" applyBorder="1">
      <alignment/>
      <protection/>
    </xf>
    <xf numFmtId="3" fontId="56" fillId="0" borderId="16" xfId="108" applyNumberFormat="1" applyFont="1" applyBorder="1">
      <alignment/>
      <protection/>
    </xf>
    <xf numFmtId="3" fontId="45" fillId="0" borderId="14" xfId="108" applyNumberFormat="1" applyFont="1" applyBorder="1" applyAlignment="1">
      <alignment horizontal="center"/>
      <protection/>
    </xf>
    <xf numFmtId="3" fontId="45" fillId="0" borderId="18" xfId="108" applyNumberFormat="1" applyFont="1" applyBorder="1">
      <alignment/>
      <protection/>
    </xf>
    <xf numFmtId="0" fontId="30" fillId="0" borderId="15" xfId="101" applyFont="1" applyBorder="1" applyAlignment="1">
      <alignment wrapText="1"/>
      <protection/>
    </xf>
    <xf numFmtId="0" fontId="30" fillId="0" borderId="0" xfId="101" applyFont="1" applyBorder="1">
      <alignment/>
      <protection/>
    </xf>
    <xf numFmtId="3" fontId="30" fillId="0" borderId="0" xfId="101" applyNumberFormat="1" applyFont="1" applyBorder="1">
      <alignment/>
      <protection/>
    </xf>
    <xf numFmtId="0" fontId="30" fillId="0" borderId="16" xfId="101" applyFont="1" applyBorder="1" applyAlignment="1">
      <alignment horizontal="left" vertical="center" wrapText="1"/>
      <protection/>
    </xf>
    <xf numFmtId="3" fontId="30" fillId="0" borderId="0" xfId="101" applyNumberFormat="1" applyFont="1">
      <alignment/>
      <protection/>
    </xf>
    <xf numFmtId="49" fontId="20" fillId="0" borderId="15" xfId="0" applyNumberFormat="1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left" wrapText="1"/>
    </xf>
    <xf numFmtId="0" fontId="28" fillId="0" borderId="43" xfId="100" applyFont="1" applyBorder="1" applyAlignment="1">
      <alignment wrapText="1"/>
      <protection/>
    </xf>
    <xf numFmtId="3" fontId="28" fillId="0" borderId="38" xfId="100" applyNumberFormat="1" applyFont="1" applyBorder="1">
      <alignment/>
      <protection/>
    </xf>
    <xf numFmtId="3" fontId="29" fillId="0" borderId="38" xfId="100" applyNumberFormat="1" applyFont="1" applyBorder="1">
      <alignment/>
      <protection/>
    </xf>
    <xf numFmtId="3" fontId="60" fillId="0" borderId="44" xfId="100" applyNumberFormat="1" applyFont="1" applyBorder="1">
      <alignment/>
      <protection/>
    </xf>
    <xf numFmtId="0" fontId="20" fillId="0" borderId="24" xfId="0" applyFont="1" applyBorder="1" applyAlignment="1">
      <alignment horizontal="left"/>
    </xf>
    <xf numFmtId="0" fontId="38" fillId="0" borderId="45" xfId="104" applyFont="1" applyBorder="1" applyAlignment="1">
      <alignment horizontal="center" wrapText="1"/>
      <protection/>
    </xf>
    <xf numFmtId="49" fontId="38" fillId="0" borderId="46" xfId="104" applyNumberFormat="1" applyFont="1" applyBorder="1" applyAlignment="1">
      <alignment wrapText="1"/>
      <protection/>
    </xf>
    <xf numFmtId="49" fontId="39" fillId="0" borderId="46" xfId="104" applyNumberFormat="1" applyFont="1" applyBorder="1" applyAlignment="1">
      <alignment wrapText="1"/>
      <protection/>
    </xf>
    <xf numFmtId="3" fontId="38" fillId="0" borderId="33" xfId="104" applyNumberFormat="1" applyFont="1" applyBorder="1">
      <alignment/>
      <protection/>
    </xf>
    <xf numFmtId="3" fontId="39" fillId="0" borderId="33" xfId="104" applyNumberFormat="1" applyFont="1" applyBorder="1">
      <alignment/>
      <protection/>
    </xf>
    <xf numFmtId="3" fontId="41" fillId="0" borderId="33" xfId="106" applyNumberFormat="1" applyFont="1" applyBorder="1">
      <alignment/>
      <protection/>
    </xf>
    <xf numFmtId="3" fontId="40" fillId="0" borderId="33" xfId="104" applyNumberFormat="1" applyFont="1" applyBorder="1">
      <alignment/>
      <protection/>
    </xf>
    <xf numFmtId="3" fontId="38" fillId="0" borderId="29" xfId="104" applyNumberFormat="1" applyFont="1" applyBorder="1">
      <alignment/>
      <protection/>
    </xf>
    <xf numFmtId="3" fontId="38" fillId="0" borderId="47" xfId="104" applyNumberFormat="1" applyFont="1" applyBorder="1">
      <alignment/>
      <protection/>
    </xf>
    <xf numFmtId="0" fontId="38" fillId="0" borderId="48" xfId="104" applyFont="1" applyBorder="1" applyAlignment="1">
      <alignment horizontal="center" wrapText="1"/>
      <protection/>
    </xf>
    <xf numFmtId="49" fontId="38" fillId="0" borderId="49" xfId="104" applyNumberFormat="1" applyFont="1" applyBorder="1" applyAlignment="1">
      <alignment wrapText="1"/>
      <protection/>
    </xf>
    <xf numFmtId="49" fontId="39" fillId="0" borderId="34" xfId="104" applyNumberFormat="1" applyFont="1" applyBorder="1" applyAlignment="1">
      <alignment wrapText="1"/>
      <protection/>
    </xf>
    <xf numFmtId="49" fontId="38" fillId="0" borderId="35" xfId="104" applyNumberFormat="1" applyFont="1" applyBorder="1" applyAlignment="1">
      <alignment wrapText="1"/>
      <protection/>
    </xf>
    <xf numFmtId="49" fontId="39" fillId="0" borderId="35" xfId="104" applyNumberFormat="1" applyFont="1" applyBorder="1" applyAlignment="1">
      <alignment wrapText="1"/>
      <protection/>
    </xf>
    <xf numFmtId="49" fontId="39" fillId="0" borderId="35" xfId="104" applyNumberFormat="1" applyFont="1" applyBorder="1" applyAlignment="1">
      <alignment wrapText="1"/>
      <protection/>
    </xf>
    <xf numFmtId="49" fontId="38" fillId="0" borderId="35" xfId="104" applyNumberFormat="1" applyFont="1" applyBorder="1" applyAlignment="1">
      <alignment wrapText="1"/>
      <protection/>
    </xf>
    <xf numFmtId="49" fontId="39" fillId="0" borderId="50" xfId="104" applyNumberFormat="1" applyFont="1" applyBorder="1" applyAlignment="1">
      <alignment wrapText="1"/>
      <protection/>
    </xf>
    <xf numFmtId="49" fontId="38" fillId="0" borderId="33" xfId="104" applyNumberFormat="1" applyFont="1" applyBorder="1" applyAlignment="1">
      <alignment wrapText="1"/>
      <protection/>
    </xf>
    <xf numFmtId="49" fontId="39" fillId="0" borderId="33" xfId="104" applyNumberFormat="1" applyFont="1" applyBorder="1" applyAlignment="1">
      <alignment wrapText="1"/>
      <protection/>
    </xf>
    <xf numFmtId="0" fontId="38" fillId="0" borderId="51" xfId="104" applyFont="1" applyBorder="1" applyAlignment="1">
      <alignment wrapText="1"/>
      <protection/>
    </xf>
    <xf numFmtId="0" fontId="38" fillId="0" borderId="37" xfId="104" applyFont="1" applyBorder="1" applyAlignment="1">
      <alignment wrapText="1"/>
      <protection/>
    </xf>
    <xf numFmtId="0" fontId="38" fillId="0" borderId="34" xfId="104" applyFont="1" applyBorder="1" applyAlignment="1">
      <alignment wrapText="1"/>
      <protection/>
    </xf>
    <xf numFmtId="0" fontId="38" fillId="0" borderId="52" xfId="104" applyFont="1" applyBorder="1" applyAlignment="1">
      <alignment wrapText="1"/>
      <protection/>
    </xf>
    <xf numFmtId="0" fontId="38" fillId="0" borderId="53" xfId="109" applyFont="1" applyBorder="1" applyAlignment="1">
      <alignment wrapText="1"/>
      <protection/>
    </xf>
    <xf numFmtId="3" fontId="38" fillId="0" borderId="34" xfId="104" applyNumberFormat="1" applyFont="1" applyBorder="1">
      <alignment/>
      <protection/>
    </xf>
    <xf numFmtId="3" fontId="39" fillId="0" borderId="34" xfId="104" applyNumberFormat="1" applyFont="1" applyBorder="1">
      <alignment/>
      <protection/>
    </xf>
    <xf numFmtId="3" fontId="38" fillId="0" borderId="35" xfId="104" applyNumberFormat="1" applyFont="1" applyBorder="1">
      <alignment/>
      <protection/>
    </xf>
    <xf numFmtId="3" fontId="39" fillId="0" borderId="50" xfId="104" applyNumberFormat="1" applyFont="1" applyBorder="1">
      <alignment/>
      <protection/>
    </xf>
    <xf numFmtId="3" fontId="39" fillId="0" borderId="33" xfId="104" applyNumberFormat="1" applyFont="1" applyBorder="1">
      <alignment/>
      <protection/>
    </xf>
    <xf numFmtId="3" fontId="38" fillId="0" borderId="51" xfId="104" applyNumberFormat="1" applyFont="1" applyBorder="1">
      <alignment/>
      <protection/>
    </xf>
    <xf numFmtId="3" fontId="38" fillId="0" borderId="37" xfId="104" applyNumberFormat="1" applyFont="1" applyBorder="1">
      <alignment/>
      <protection/>
    </xf>
    <xf numFmtId="3" fontId="38" fillId="0" borderId="34" xfId="104" applyNumberFormat="1" applyFont="1" applyBorder="1">
      <alignment/>
      <protection/>
    </xf>
    <xf numFmtId="3" fontId="38" fillId="0" borderId="52" xfId="104" applyNumberFormat="1" applyFont="1" applyBorder="1">
      <alignment/>
      <protection/>
    </xf>
    <xf numFmtId="3" fontId="38" fillId="0" borderId="53" xfId="109" applyNumberFormat="1" applyFont="1" applyBorder="1">
      <alignment/>
      <protection/>
    </xf>
    <xf numFmtId="49" fontId="38" fillId="0" borderId="54" xfId="104" applyNumberFormat="1" applyFont="1" applyBorder="1" applyAlignment="1">
      <alignment wrapText="1"/>
      <protection/>
    </xf>
    <xf numFmtId="49" fontId="39" fillId="0" borderId="55" xfId="104" applyNumberFormat="1" applyFont="1" applyBorder="1" applyAlignment="1">
      <alignment wrapText="1"/>
      <protection/>
    </xf>
    <xf numFmtId="49" fontId="38" fillId="0" borderId="55" xfId="104" applyNumberFormat="1" applyFont="1" applyBorder="1" applyAlignment="1">
      <alignment wrapText="1"/>
      <protection/>
    </xf>
    <xf numFmtId="49" fontId="38" fillId="0" borderId="46" xfId="104" applyNumberFormat="1" applyFont="1" applyBorder="1" applyAlignment="1">
      <alignment wrapText="1"/>
      <protection/>
    </xf>
    <xf numFmtId="49" fontId="39" fillId="0" borderId="56" xfId="104" applyNumberFormat="1" applyFont="1" applyBorder="1" applyAlignment="1">
      <alignment wrapText="1"/>
      <protection/>
    </xf>
    <xf numFmtId="49" fontId="38" fillId="0" borderId="57" xfId="104" applyNumberFormat="1" applyFont="1" applyBorder="1" applyAlignment="1">
      <alignment wrapText="1"/>
      <protection/>
    </xf>
    <xf numFmtId="0" fontId="38" fillId="0" borderId="57" xfId="104" applyFont="1" applyBorder="1" applyAlignment="1">
      <alignment wrapText="1"/>
      <protection/>
    </xf>
    <xf numFmtId="0" fontId="38" fillId="0" borderId="58" xfId="104" applyFont="1" applyBorder="1" applyAlignment="1">
      <alignment wrapText="1"/>
      <protection/>
    </xf>
    <xf numFmtId="0" fontId="38" fillId="0" borderId="48" xfId="104" applyFont="1" applyBorder="1" applyAlignment="1">
      <alignment horizontal="center"/>
      <protection/>
    </xf>
    <xf numFmtId="3" fontId="38" fillId="0" borderId="49" xfId="104" applyNumberFormat="1" applyFont="1" applyBorder="1">
      <alignment/>
      <protection/>
    </xf>
    <xf numFmtId="3" fontId="38" fillId="0" borderId="59" xfId="104" applyNumberFormat="1" applyFont="1" applyBorder="1">
      <alignment/>
      <protection/>
    </xf>
    <xf numFmtId="3" fontId="20" fillId="0" borderId="47" xfId="104" applyNumberFormat="1" applyFont="1" applyBorder="1">
      <alignment/>
      <protection/>
    </xf>
    <xf numFmtId="3" fontId="20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22" fillId="0" borderId="28" xfId="0" applyFont="1" applyBorder="1" applyAlignment="1">
      <alignment/>
    </xf>
    <xf numFmtId="3" fontId="20" fillId="0" borderId="60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3" fontId="38" fillId="0" borderId="35" xfId="104" applyNumberFormat="1" applyFont="1" applyBorder="1">
      <alignment/>
      <protection/>
    </xf>
    <xf numFmtId="3" fontId="40" fillId="0" borderId="35" xfId="104" applyNumberFormat="1" applyFont="1" applyBorder="1">
      <alignment/>
      <protection/>
    </xf>
    <xf numFmtId="3" fontId="40" fillId="0" borderId="51" xfId="104" applyNumberFormat="1" applyFont="1" applyBorder="1">
      <alignment/>
      <protection/>
    </xf>
    <xf numFmtId="3" fontId="22" fillId="0" borderId="24" xfId="0" applyNumberFormat="1" applyFont="1" applyBorder="1" applyAlignment="1">
      <alignment/>
    </xf>
    <xf numFmtId="3" fontId="32" fillId="0" borderId="18" xfId="0" applyNumberFormat="1" applyFont="1" applyBorder="1" applyAlignment="1">
      <alignment horizontal="right" vertical="center" wrapText="1"/>
    </xf>
    <xf numFmtId="0" fontId="0" fillId="0" borderId="58" xfId="0" applyBorder="1" applyAlignment="1">
      <alignment/>
    </xf>
    <xf numFmtId="0" fontId="0" fillId="0" borderId="62" xfId="0" applyBorder="1" applyAlignment="1">
      <alignment/>
    </xf>
    <xf numFmtId="0" fontId="28" fillId="0" borderId="15" xfId="0" applyFont="1" applyBorder="1" applyAlignment="1">
      <alignment horizontal="left" vertical="center" wrapText="1"/>
    </xf>
    <xf numFmtId="0" fontId="38" fillId="0" borderId="63" xfId="104" applyFont="1" applyBorder="1" applyAlignment="1">
      <alignment horizontal="center"/>
      <protection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right" wrapText="1"/>
    </xf>
    <xf numFmtId="3" fontId="20" fillId="0" borderId="33" xfId="0" applyNumberFormat="1" applyFont="1" applyBorder="1" applyAlignment="1">
      <alignment horizontal="right" wrapText="1"/>
    </xf>
    <xf numFmtId="3" fontId="20" fillId="0" borderId="29" xfId="0" applyNumberFormat="1" applyFont="1" applyBorder="1" applyAlignment="1">
      <alignment/>
    </xf>
    <xf numFmtId="0" fontId="22" fillId="0" borderId="41" xfId="0" applyFont="1" applyBorder="1" applyAlignment="1">
      <alignment/>
    </xf>
    <xf numFmtId="3" fontId="20" fillId="0" borderId="42" xfId="0" applyNumberFormat="1" applyFont="1" applyBorder="1" applyAlignment="1">
      <alignment horizontal="center" vertical="center" wrapText="1"/>
    </xf>
    <xf numFmtId="3" fontId="20" fillId="0" borderId="41" xfId="0" applyNumberFormat="1" applyFont="1" applyBorder="1" applyAlignment="1">
      <alignment/>
    </xf>
    <xf numFmtId="0" fontId="22" fillId="0" borderId="24" xfId="0" applyFont="1" applyBorder="1" applyAlignment="1">
      <alignment/>
    </xf>
    <xf numFmtId="3" fontId="20" fillId="0" borderId="2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52" fillId="0" borderId="2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38" fillId="0" borderId="55" xfId="104" applyNumberFormat="1" applyFont="1" applyBorder="1">
      <alignment/>
      <protection/>
    </xf>
    <xf numFmtId="3" fontId="39" fillId="0" borderId="55" xfId="104" applyNumberFormat="1" applyFont="1" applyBorder="1">
      <alignment/>
      <protection/>
    </xf>
    <xf numFmtId="3" fontId="38" fillId="0" borderId="46" xfId="104" applyNumberFormat="1" applyFont="1" applyBorder="1">
      <alignment/>
      <protection/>
    </xf>
    <xf numFmtId="3" fontId="39" fillId="0" borderId="46" xfId="104" applyNumberFormat="1" applyFont="1" applyBorder="1">
      <alignment/>
      <protection/>
    </xf>
    <xf numFmtId="3" fontId="38" fillId="0" borderId="64" xfId="104" applyNumberFormat="1" applyFont="1" applyBorder="1">
      <alignment/>
      <protection/>
    </xf>
    <xf numFmtId="3" fontId="38" fillId="0" borderId="65" xfId="104" applyNumberFormat="1" applyFont="1" applyBorder="1">
      <alignment/>
      <protection/>
    </xf>
    <xf numFmtId="3" fontId="38" fillId="0" borderId="55" xfId="104" applyNumberFormat="1" applyFont="1" applyBorder="1">
      <alignment/>
      <protection/>
    </xf>
    <xf numFmtId="3" fontId="38" fillId="0" borderId="57" xfId="104" applyNumberFormat="1" applyFont="1" applyBorder="1">
      <alignment/>
      <protection/>
    </xf>
    <xf numFmtId="3" fontId="38" fillId="0" borderId="66" xfId="109" applyNumberFormat="1" applyFont="1" applyBorder="1">
      <alignment/>
      <protection/>
    </xf>
    <xf numFmtId="0" fontId="38" fillId="0" borderId="59" xfId="104" applyFont="1" applyBorder="1" applyAlignment="1">
      <alignment horizontal="center"/>
      <protection/>
    </xf>
    <xf numFmtId="3" fontId="38" fillId="0" borderId="67" xfId="104" applyNumberFormat="1" applyFont="1" applyBorder="1">
      <alignment/>
      <protection/>
    </xf>
    <xf numFmtId="3" fontId="38" fillId="0" borderId="24" xfId="104" applyNumberFormat="1" applyFont="1" applyBorder="1">
      <alignment/>
      <protection/>
    </xf>
    <xf numFmtId="3" fontId="39" fillId="0" borderId="24" xfId="104" applyNumberFormat="1" applyFont="1" applyBorder="1">
      <alignment/>
      <protection/>
    </xf>
    <xf numFmtId="3" fontId="41" fillId="0" borderId="24" xfId="106" applyNumberFormat="1" applyFont="1" applyBorder="1">
      <alignment/>
      <protection/>
    </xf>
    <xf numFmtId="0" fontId="22" fillId="0" borderId="24" xfId="104" applyFont="1" applyBorder="1">
      <alignment/>
      <protection/>
    </xf>
    <xf numFmtId="3" fontId="38" fillId="0" borderId="42" xfId="104" applyNumberFormat="1" applyFont="1" applyBorder="1">
      <alignment/>
      <protection/>
    </xf>
    <xf numFmtId="3" fontId="35" fillId="0" borderId="28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3" fontId="30" fillId="0" borderId="38" xfId="102" applyNumberFormat="1" applyFont="1" applyFill="1" applyBorder="1" applyAlignment="1">
      <alignment vertical="center"/>
      <protection/>
    </xf>
    <xf numFmtId="0" fontId="49" fillId="0" borderId="17" xfId="102" applyFont="1" applyFill="1" applyBorder="1" applyAlignment="1">
      <alignment horizontal="center" vertical="center"/>
      <protection/>
    </xf>
    <xf numFmtId="0" fontId="28" fillId="0" borderId="43" xfId="102" applyFont="1" applyFill="1" applyBorder="1">
      <alignment/>
      <protection/>
    </xf>
    <xf numFmtId="3" fontId="30" fillId="0" borderId="44" xfId="102" applyNumberFormat="1" applyFont="1" applyFill="1" applyBorder="1" applyAlignment="1">
      <alignment vertical="center"/>
      <protection/>
    </xf>
    <xf numFmtId="3" fontId="20" fillId="0" borderId="28" xfId="100" applyNumberFormat="1" applyFont="1" applyBorder="1">
      <alignment/>
      <protection/>
    </xf>
    <xf numFmtId="3" fontId="30" fillId="0" borderId="30" xfId="100" applyNumberFormat="1" applyFont="1" applyBorder="1">
      <alignment/>
      <protection/>
    </xf>
    <xf numFmtId="3" fontId="20" fillId="0" borderId="30" xfId="100" applyNumberFormat="1" applyFont="1" applyBorder="1">
      <alignment/>
      <protection/>
    </xf>
    <xf numFmtId="3" fontId="30" fillId="0" borderId="28" xfId="100" applyNumberFormat="1" applyFont="1" applyBorder="1">
      <alignment/>
      <protection/>
    </xf>
    <xf numFmtId="3" fontId="29" fillId="0" borderId="28" xfId="100" applyNumberFormat="1" applyFont="1" applyBorder="1">
      <alignment/>
      <protection/>
    </xf>
    <xf numFmtId="3" fontId="34" fillId="0" borderId="28" xfId="100" applyNumberFormat="1" applyFont="1" applyBorder="1">
      <alignment/>
      <protection/>
    </xf>
    <xf numFmtId="2" fontId="28" fillId="0" borderId="61" xfId="0" applyNumberFormat="1" applyFont="1" applyBorder="1" applyAlignment="1">
      <alignment horizontal="center" vertical="top" wrapText="1"/>
    </xf>
    <xf numFmtId="2" fontId="34" fillId="0" borderId="28" xfId="0" applyNumberFormat="1" applyFont="1" applyBorder="1" applyAlignment="1">
      <alignment horizontal="center" vertical="top" wrapText="1"/>
    </xf>
    <xf numFmtId="2" fontId="30" fillId="0" borderId="28" xfId="0" applyNumberFormat="1" applyFont="1" applyBorder="1" applyAlignment="1">
      <alignment horizontal="center" vertical="top" wrapText="1"/>
    </xf>
    <xf numFmtId="0" fontId="28" fillId="0" borderId="28" xfId="0" applyFont="1" applyBorder="1" applyAlignment="1">
      <alignment/>
    </xf>
    <xf numFmtId="2" fontId="28" fillId="0" borderId="28" xfId="0" applyNumberFormat="1" applyFont="1" applyBorder="1" applyAlignment="1">
      <alignment horizontal="center"/>
    </xf>
    <xf numFmtId="2" fontId="30" fillId="0" borderId="28" xfId="0" applyNumberFormat="1" applyFont="1" applyBorder="1" applyAlignment="1">
      <alignment horizontal="center" vertical="top" wrapText="1"/>
    </xf>
    <xf numFmtId="2" fontId="30" fillId="0" borderId="30" xfId="0" applyNumberFormat="1" applyFont="1" applyBorder="1" applyAlignment="1">
      <alignment horizontal="center" vertical="top" wrapText="1"/>
    </xf>
    <xf numFmtId="0" fontId="30" fillId="0" borderId="68" xfId="0" applyFont="1" applyBorder="1" applyAlignment="1">
      <alignment horizontal="center" vertical="center" wrapText="1"/>
    </xf>
    <xf numFmtId="3" fontId="20" fillId="0" borderId="69" xfId="0" applyNumberFormat="1" applyFont="1" applyBorder="1" applyAlignment="1">
      <alignment horizontal="center" wrapText="1"/>
    </xf>
    <xf numFmtId="0" fontId="30" fillId="0" borderId="31" xfId="99" applyFont="1" applyBorder="1" applyAlignment="1">
      <alignment horizontal="center" vertical="center" wrapText="1"/>
      <protection/>
    </xf>
    <xf numFmtId="3" fontId="30" fillId="0" borderId="28" xfId="99" applyNumberFormat="1" applyFont="1" applyBorder="1" applyAlignment="1">
      <alignment horizontal="right"/>
      <protection/>
    </xf>
    <xf numFmtId="3" fontId="30" fillId="0" borderId="30" xfId="99" applyNumberFormat="1" applyFont="1" applyBorder="1" applyAlignment="1">
      <alignment horizontal="right"/>
      <protection/>
    </xf>
    <xf numFmtId="0" fontId="28" fillId="0" borderId="20" xfId="101" applyFont="1" applyBorder="1">
      <alignment/>
      <protection/>
    </xf>
    <xf numFmtId="0" fontId="45" fillId="0" borderId="0" xfId="107" applyFont="1" applyBorder="1" applyAlignment="1">
      <alignment/>
      <protection/>
    </xf>
    <xf numFmtId="3" fontId="45" fillId="0" borderId="28" xfId="108" applyNumberFormat="1" applyFont="1" applyBorder="1">
      <alignment/>
      <protection/>
    </xf>
    <xf numFmtId="3" fontId="48" fillId="0" borderId="28" xfId="108" applyNumberFormat="1" applyFont="1" applyBorder="1">
      <alignment/>
      <protection/>
    </xf>
    <xf numFmtId="3" fontId="45" fillId="0" borderId="30" xfId="108" applyNumberFormat="1" applyFont="1" applyBorder="1">
      <alignment/>
      <protection/>
    </xf>
    <xf numFmtId="0" fontId="30" fillId="0" borderId="20" xfId="101" applyFont="1" applyBorder="1" applyAlignment="1">
      <alignment horizontal="center" wrapText="1"/>
      <protection/>
    </xf>
    <xf numFmtId="3" fontId="30" fillId="0" borderId="18" xfId="102" applyNumberFormat="1" applyFont="1" applyFill="1" applyBorder="1" applyAlignment="1">
      <alignment vertical="center"/>
      <protection/>
    </xf>
    <xf numFmtId="3" fontId="30" fillId="0" borderId="22" xfId="102" applyNumberFormat="1" applyFont="1" applyFill="1" applyBorder="1" applyAlignment="1">
      <alignment vertical="center"/>
      <protection/>
    </xf>
    <xf numFmtId="3" fontId="28" fillId="0" borderId="0" xfId="100" applyNumberFormat="1" applyFont="1" applyAlignment="1">
      <alignment/>
      <protection/>
    </xf>
    <xf numFmtId="3" fontId="30" fillId="0" borderId="40" xfId="0" applyNumberFormat="1" applyFont="1" applyBorder="1" applyAlignment="1">
      <alignment horizontal="center" wrapText="1"/>
    </xf>
    <xf numFmtId="3" fontId="29" fillId="0" borderId="0" xfId="100" applyNumberFormat="1" applyFont="1" applyBorder="1" applyAlignment="1">
      <alignment/>
      <protection/>
    </xf>
    <xf numFmtId="3" fontId="49" fillId="0" borderId="40" xfId="0" applyNumberFormat="1" applyFont="1" applyBorder="1" applyAlignment="1">
      <alignment horizontal="center" wrapText="1"/>
    </xf>
    <xf numFmtId="3" fontId="49" fillId="0" borderId="14" xfId="0" applyNumberFormat="1" applyFont="1" applyFill="1" applyBorder="1" applyAlignment="1">
      <alignment horizontal="center" wrapText="1"/>
    </xf>
    <xf numFmtId="3" fontId="45" fillId="0" borderId="70" xfId="107" applyNumberFormat="1" applyFont="1" applyBorder="1" applyAlignment="1">
      <alignment vertical="center"/>
      <protection/>
    </xf>
    <xf numFmtId="3" fontId="46" fillId="0" borderId="15" xfId="107" applyNumberFormat="1" applyFont="1" applyBorder="1" applyAlignment="1">
      <alignment vertical="center"/>
      <protection/>
    </xf>
    <xf numFmtId="3" fontId="30" fillId="0" borderId="4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45" fillId="0" borderId="0" xfId="107" applyFont="1" applyAlignment="1">
      <alignment horizontal="center" vertical="center"/>
      <protection/>
    </xf>
    <xf numFmtId="0" fontId="46" fillId="0" borderId="0" xfId="107" applyFont="1" applyAlignment="1">
      <alignment vertical="center"/>
      <protection/>
    </xf>
    <xf numFmtId="0" fontId="48" fillId="0" borderId="0" xfId="107" applyFont="1" applyAlignment="1">
      <alignment horizontal="center" vertical="center"/>
      <protection/>
    </xf>
    <xf numFmtId="0" fontId="46" fillId="0" borderId="0" xfId="107" applyFont="1" applyAlignment="1">
      <alignment vertical="center" wrapText="1"/>
      <protection/>
    </xf>
    <xf numFmtId="3" fontId="48" fillId="0" borderId="71" xfId="107" applyNumberFormat="1" applyFont="1" applyBorder="1" applyAlignment="1">
      <alignment vertical="center" wrapText="1"/>
      <protection/>
    </xf>
    <xf numFmtId="3" fontId="48" fillId="0" borderId="72" xfId="107" applyNumberFormat="1" applyFont="1" applyBorder="1" applyAlignment="1">
      <alignment vertical="center" wrapText="1"/>
      <protection/>
    </xf>
    <xf numFmtId="3" fontId="48" fillId="0" borderId="13" xfId="107" applyNumberFormat="1" applyFont="1" applyBorder="1" applyAlignment="1">
      <alignment vertical="center" wrapText="1"/>
      <protection/>
    </xf>
    <xf numFmtId="0" fontId="48" fillId="0" borderId="0" xfId="107" applyFont="1" applyAlignment="1">
      <alignment vertical="center" wrapText="1"/>
      <protection/>
    </xf>
    <xf numFmtId="3" fontId="46" fillId="0" borderId="23" xfId="107" applyNumberFormat="1" applyFont="1" applyBorder="1" applyAlignment="1">
      <alignment vertical="center"/>
      <protection/>
    </xf>
    <xf numFmtId="3" fontId="48" fillId="0" borderId="23" xfId="107" applyNumberFormat="1" applyFont="1" applyBorder="1" applyAlignment="1">
      <alignment vertical="center"/>
      <protection/>
    </xf>
    <xf numFmtId="3" fontId="48" fillId="0" borderId="73" xfId="107" applyNumberFormat="1" applyFont="1" applyBorder="1" applyAlignment="1">
      <alignment vertical="center"/>
      <protection/>
    </xf>
    <xf numFmtId="0" fontId="48" fillId="0" borderId="0" xfId="107" applyFont="1" applyAlignment="1">
      <alignment vertical="center"/>
      <protection/>
    </xf>
    <xf numFmtId="3" fontId="46" fillId="0" borderId="0" xfId="107" applyNumberFormat="1" applyFont="1" applyAlignment="1">
      <alignment vertical="center"/>
      <protection/>
    </xf>
    <xf numFmtId="0" fontId="41" fillId="0" borderId="0" xfId="107" applyFont="1" applyAlignment="1">
      <alignment vertical="center"/>
      <protection/>
    </xf>
    <xf numFmtId="3" fontId="46" fillId="0" borderId="15" xfId="108" applyNumberFormat="1" applyFont="1" applyBorder="1" applyAlignment="1">
      <alignment vertical="center" wrapText="1"/>
      <protection/>
    </xf>
    <xf numFmtId="3" fontId="48" fillId="0" borderId="15" xfId="108" applyNumberFormat="1" applyFont="1" applyBorder="1" applyAlignment="1">
      <alignment vertical="center" wrapText="1"/>
      <protection/>
    </xf>
    <xf numFmtId="3" fontId="48" fillId="0" borderId="16" xfId="108" applyNumberFormat="1" applyFont="1" applyBorder="1" applyAlignment="1">
      <alignment vertical="center"/>
      <protection/>
    </xf>
    <xf numFmtId="3" fontId="48" fillId="0" borderId="20" xfId="108" applyNumberFormat="1" applyFont="1" applyBorder="1" applyAlignment="1">
      <alignment vertical="center"/>
      <protection/>
    </xf>
    <xf numFmtId="3" fontId="46" fillId="0" borderId="16" xfId="108" applyNumberFormat="1" applyFont="1" applyBorder="1" applyAlignment="1">
      <alignment vertical="center"/>
      <protection/>
    </xf>
    <xf numFmtId="0" fontId="45" fillId="0" borderId="0" xfId="107" applyFont="1" applyAlignment="1">
      <alignment vertical="center"/>
      <protection/>
    </xf>
    <xf numFmtId="3" fontId="45" fillId="0" borderId="0" xfId="107" applyNumberFormat="1" applyFont="1" applyAlignment="1">
      <alignment vertical="center"/>
      <protection/>
    </xf>
    <xf numFmtId="3" fontId="45" fillId="0" borderId="15" xfId="0" applyNumberFormat="1" applyFont="1" applyBorder="1" applyAlignment="1">
      <alignment wrapText="1"/>
    </xf>
    <xf numFmtId="3" fontId="38" fillId="0" borderId="65" xfId="0" applyNumberFormat="1" applyFont="1" applyBorder="1" applyAlignment="1">
      <alignment horizontal="center" vertical="center" wrapText="1"/>
    </xf>
    <xf numFmtId="0" fontId="38" fillId="0" borderId="74" xfId="104" applyFont="1" applyBorder="1" applyAlignment="1">
      <alignment horizontal="center"/>
      <protection/>
    </xf>
    <xf numFmtId="3" fontId="38" fillId="0" borderId="33" xfId="104" applyNumberFormat="1" applyFont="1" applyBorder="1">
      <alignment/>
      <protection/>
    </xf>
    <xf numFmtId="0" fontId="22" fillId="0" borderId="51" xfId="104" applyFont="1" applyBorder="1">
      <alignment/>
      <protection/>
    </xf>
    <xf numFmtId="3" fontId="22" fillId="0" borderId="35" xfId="104" applyNumberFormat="1" applyFont="1" applyBorder="1">
      <alignment/>
      <protection/>
    </xf>
    <xf numFmtId="0" fontId="22" fillId="0" borderId="24" xfId="0" applyFont="1" applyBorder="1" applyAlignment="1">
      <alignment/>
    </xf>
    <xf numFmtId="49" fontId="39" fillId="0" borderId="55" xfId="104" applyNumberFormat="1" applyFont="1" applyBorder="1" applyAlignment="1">
      <alignment wrapText="1"/>
      <protection/>
    </xf>
    <xf numFmtId="3" fontId="20" fillId="0" borderId="31" xfId="0" applyNumberFormat="1" applyFont="1" applyBorder="1" applyAlignment="1">
      <alignment/>
    </xf>
    <xf numFmtId="3" fontId="22" fillId="0" borderId="60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 horizontal="right" wrapText="1"/>
    </xf>
    <xf numFmtId="3" fontId="20" fillId="0" borderId="28" xfId="0" applyNumberFormat="1" applyFont="1" applyBorder="1" applyAlignment="1">
      <alignment horizontal="right" wrapText="1"/>
    </xf>
    <xf numFmtId="3" fontId="20" fillId="0" borderId="30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20" fillId="0" borderId="24" xfId="0" applyFont="1" applyBorder="1" applyAlignment="1">
      <alignment/>
    </xf>
    <xf numFmtId="49" fontId="22" fillId="0" borderId="75" xfId="104" applyNumberFormat="1" applyFont="1" applyBorder="1" applyAlignment="1">
      <alignment wrapText="1"/>
      <protection/>
    </xf>
    <xf numFmtId="0" fontId="28" fillId="0" borderId="16" xfId="0" applyFont="1" applyBorder="1" applyAlignment="1">
      <alignment/>
    </xf>
    <xf numFmtId="0" fontId="52" fillId="0" borderId="23" xfId="0" applyFont="1" applyBorder="1" applyAlignment="1">
      <alignment wrapText="1"/>
    </xf>
    <xf numFmtId="3" fontId="22" fillId="0" borderId="20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20" fillId="0" borderId="23" xfId="0" applyFont="1" applyBorder="1" applyAlignment="1">
      <alignment horizontal="left"/>
    </xf>
    <xf numFmtId="3" fontId="39" fillId="0" borderId="51" xfId="104" applyNumberFormat="1" applyFont="1" applyBorder="1">
      <alignment/>
      <protection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22" fillId="0" borderId="33" xfId="0" applyNumberFormat="1" applyFont="1" applyBorder="1" applyAlignment="1">
      <alignment horizontal="right" vertical="center" wrapText="1"/>
    </xf>
    <xf numFmtId="3" fontId="32" fillId="0" borderId="28" xfId="0" applyNumberFormat="1" applyFont="1" applyBorder="1" applyAlignment="1">
      <alignment horizontal="right" vertical="center" wrapText="1"/>
    </xf>
    <xf numFmtId="3" fontId="32" fillId="0" borderId="30" xfId="0" applyNumberFormat="1" applyFont="1" applyBorder="1" applyAlignment="1">
      <alignment/>
    </xf>
    <xf numFmtId="2" fontId="28" fillId="0" borderId="40" xfId="0" applyNumberFormat="1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49" fontId="28" fillId="0" borderId="15" xfId="100" applyNumberFormat="1" applyFont="1" applyBorder="1" applyAlignment="1">
      <alignment wrapText="1"/>
      <protection/>
    </xf>
    <xf numFmtId="3" fontId="46" fillId="0" borderId="0" xfId="108" applyNumberFormat="1" applyFont="1" applyBorder="1" applyAlignment="1">
      <alignment wrapText="1"/>
      <protection/>
    </xf>
    <xf numFmtId="3" fontId="45" fillId="0" borderId="13" xfId="108" applyNumberFormat="1" applyFont="1" applyBorder="1" applyAlignment="1">
      <alignment horizontal="center" wrapText="1"/>
      <protection/>
    </xf>
    <xf numFmtId="3" fontId="45" fillId="0" borderId="15" xfId="108" applyNumberFormat="1" applyFont="1" applyBorder="1" applyAlignment="1">
      <alignment wrapText="1"/>
      <protection/>
    </xf>
    <xf numFmtId="3" fontId="56" fillId="0" borderId="15" xfId="108" applyNumberFormat="1" applyFont="1" applyBorder="1" applyAlignment="1">
      <alignment wrapText="1"/>
      <protection/>
    </xf>
    <xf numFmtId="3" fontId="56" fillId="0" borderId="28" xfId="108" applyNumberFormat="1" applyFont="1" applyBorder="1">
      <alignment/>
      <protection/>
    </xf>
    <xf numFmtId="3" fontId="46" fillId="0" borderId="15" xfId="108" applyNumberFormat="1" applyFont="1" applyBorder="1" applyAlignment="1">
      <alignment wrapText="1"/>
      <protection/>
    </xf>
    <xf numFmtId="3" fontId="46" fillId="0" borderId="28" xfId="108" applyNumberFormat="1" applyFont="1" applyBorder="1">
      <alignment/>
      <protection/>
    </xf>
    <xf numFmtId="3" fontId="48" fillId="0" borderId="15" xfId="108" applyNumberFormat="1" applyFont="1" applyBorder="1" applyAlignment="1">
      <alignment wrapText="1"/>
      <protection/>
    </xf>
    <xf numFmtId="3" fontId="45" fillId="0" borderId="17" xfId="108" applyNumberFormat="1" applyFont="1" applyBorder="1" applyAlignment="1">
      <alignment wrapText="1"/>
      <protection/>
    </xf>
    <xf numFmtId="3" fontId="46" fillId="0" borderId="0" xfId="108" applyNumberFormat="1" applyFont="1" applyAlignment="1">
      <alignment wrapText="1"/>
      <protection/>
    </xf>
    <xf numFmtId="3" fontId="45" fillId="0" borderId="31" xfId="107" applyNumberFormat="1" applyFont="1" applyBorder="1" applyAlignment="1">
      <alignment/>
      <protection/>
    </xf>
    <xf numFmtId="0" fontId="45" fillId="0" borderId="40" xfId="107" applyFont="1" applyBorder="1" applyAlignment="1">
      <alignment/>
      <protection/>
    </xf>
    <xf numFmtId="0" fontId="56" fillId="0" borderId="20" xfId="108" applyFont="1" applyBorder="1">
      <alignment/>
      <protection/>
    </xf>
    <xf numFmtId="0" fontId="45" fillId="0" borderId="20" xfId="108" applyFont="1" applyBorder="1">
      <alignment/>
      <protection/>
    </xf>
    <xf numFmtId="0" fontId="46" fillId="0" borderId="20" xfId="108" applyFont="1" applyBorder="1">
      <alignment/>
      <protection/>
    </xf>
    <xf numFmtId="0" fontId="32" fillId="0" borderId="15" xfId="0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right" vertical="center" wrapText="1"/>
    </xf>
    <xf numFmtId="3" fontId="32" fillId="0" borderId="17" xfId="0" applyNumberFormat="1" applyFont="1" applyBorder="1" applyAlignment="1">
      <alignment horizontal="right" vertical="center" wrapText="1"/>
    </xf>
    <xf numFmtId="3" fontId="39" fillId="0" borderId="76" xfId="104" applyNumberFormat="1" applyFont="1" applyBorder="1">
      <alignment/>
      <protection/>
    </xf>
    <xf numFmtId="3" fontId="39" fillId="0" borderId="77" xfId="104" applyNumberFormat="1" applyFont="1" applyBorder="1">
      <alignment/>
      <protection/>
    </xf>
    <xf numFmtId="3" fontId="38" fillId="0" borderId="78" xfId="104" applyNumberFormat="1" applyFont="1" applyBorder="1">
      <alignment/>
      <protection/>
    </xf>
    <xf numFmtId="3" fontId="39" fillId="0" borderId="79" xfId="104" applyNumberFormat="1" applyFont="1" applyBorder="1">
      <alignment/>
      <protection/>
    </xf>
    <xf numFmtId="3" fontId="39" fillId="0" borderId="20" xfId="104" applyNumberFormat="1" applyFont="1" applyBorder="1">
      <alignment/>
      <protection/>
    </xf>
    <xf numFmtId="0" fontId="22" fillId="0" borderId="65" xfId="104" applyFont="1" applyBorder="1">
      <alignment/>
      <protection/>
    </xf>
    <xf numFmtId="0" fontId="38" fillId="0" borderId="59" xfId="104" applyFont="1" applyBorder="1" applyAlignment="1">
      <alignment horizontal="center" wrapText="1"/>
      <protection/>
    </xf>
    <xf numFmtId="0" fontId="38" fillId="0" borderId="47" xfId="104" applyFont="1" applyBorder="1" applyAlignment="1">
      <alignment horizontal="left" wrapText="1"/>
      <protection/>
    </xf>
    <xf numFmtId="0" fontId="38" fillId="0" borderId="33" xfId="104" applyFont="1" applyBorder="1" applyAlignment="1">
      <alignment wrapText="1"/>
      <protection/>
    </xf>
    <xf numFmtId="0" fontId="39" fillId="0" borderId="33" xfId="104" applyFont="1" applyBorder="1" applyAlignment="1">
      <alignment wrapText="1"/>
      <protection/>
    </xf>
    <xf numFmtId="0" fontId="39" fillId="0" borderId="33" xfId="109" applyFont="1" applyBorder="1" applyAlignment="1">
      <alignment wrapText="1"/>
      <protection/>
    </xf>
    <xf numFmtId="0" fontId="41" fillId="0" borderId="33" xfId="106" applyFont="1" applyBorder="1" applyAlignment="1">
      <alignment wrapText="1"/>
      <protection/>
    </xf>
    <xf numFmtId="49" fontId="46" fillId="0" borderId="33" xfId="106" applyNumberFormat="1" applyFont="1" applyBorder="1" applyAlignment="1">
      <alignment wrapText="1"/>
      <protection/>
    </xf>
    <xf numFmtId="49" fontId="41" fillId="0" borderId="33" xfId="106" applyNumberFormat="1" applyFont="1" applyBorder="1" applyAlignment="1">
      <alignment wrapText="1"/>
      <protection/>
    </xf>
    <xf numFmtId="0" fontId="39" fillId="0" borderId="33" xfId="109" applyFont="1" applyBorder="1" applyAlignment="1">
      <alignment wrapText="1" shrinkToFit="1"/>
      <protection/>
    </xf>
    <xf numFmtId="0" fontId="40" fillId="0" borderId="33" xfId="109" applyFont="1" applyBorder="1" applyAlignment="1">
      <alignment wrapText="1" shrinkToFit="1"/>
      <protection/>
    </xf>
    <xf numFmtId="49" fontId="39" fillId="0" borderId="33" xfId="104" applyNumberFormat="1" applyFont="1" applyBorder="1" applyAlignment="1">
      <alignment wrapText="1"/>
      <protection/>
    </xf>
    <xf numFmtId="0" fontId="38" fillId="0" borderId="33" xfId="104" applyFont="1" applyBorder="1" applyAlignment="1">
      <alignment wrapText="1"/>
      <protection/>
    </xf>
    <xf numFmtId="0" fontId="35" fillId="0" borderId="33" xfId="0" applyFont="1" applyBorder="1" applyAlignment="1">
      <alignment/>
    </xf>
    <xf numFmtId="0" fontId="38" fillId="0" borderId="29" xfId="109" applyFont="1" applyBorder="1" applyAlignment="1">
      <alignment wrapText="1"/>
      <protection/>
    </xf>
    <xf numFmtId="3" fontId="38" fillId="0" borderId="54" xfId="104" applyNumberFormat="1" applyFont="1" applyBorder="1">
      <alignment/>
      <protection/>
    </xf>
    <xf numFmtId="3" fontId="38" fillId="0" borderId="46" xfId="104" applyNumberFormat="1" applyFont="1" applyBorder="1">
      <alignment/>
      <protection/>
    </xf>
    <xf numFmtId="3" fontId="40" fillId="0" borderId="46" xfId="104" applyNumberFormat="1" applyFont="1" applyBorder="1">
      <alignment/>
      <protection/>
    </xf>
    <xf numFmtId="3" fontId="38" fillId="0" borderId="58" xfId="104" applyNumberFormat="1" applyFont="1" applyBorder="1">
      <alignment/>
      <protection/>
    </xf>
    <xf numFmtId="0" fontId="20" fillId="0" borderId="80" xfId="104" applyFont="1" applyBorder="1">
      <alignment/>
      <protection/>
    </xf>
    <xf numFmtId="0" fontId="38" fillId="0" borderId="54" xfId="104" applyFont="1" applyBorder="1" applyAlignment="1">
      <alignment wrapText="1"/>
      <protection/>
    </xf>
    <xf numFmtId="0" fontId="38" fillId="0" borderId="55" xfId="104" applyFont="1" applyBorder="1" applyAlignment="1">
      <alignment wrapText="1"/>
      <protection/>
    </xf>
    <xf numFmtId="0" fontId="38" fillId="0" borderId="46" xfId="104" applyFont="1" applyBorder="1" applyAlignment="1">
      <alignment wrapText="1"/>
      <protection/>
    </xf>
    <xf numFmtId="0" fontId="38" fillId="0" borderId="46" xfId="104" applyFont="1" applyBorder="1" applyAlignment="1">
      <alignment horizontal="left" wrapText="1"/>
      <protection/>
    </xf>
    <xf numFmtId="0" fontId="39" fillId="0" borderId="46" xfId="104" applyFont="1" applyBorder="1" applyAlignment="1">
      <alignment wrapText="1"/>
      <protection/>
    </xf>
    <xf numFmtId="0" fontId="40" fillId="0" borderId="15" xfId="0" applyFont="1" applyBorder="1" applyAlignment="1">
      <alignment wrapText="1"/>
    </xf>
    <xf numFmtId="0" fontId="40" fillId="0" borderId="46" xfId="104" applyFont="1" applyBorder="1" applyAlignment="1">
      <alignment wrapText="1"/>
      <protection/>
    </xf>
    <xf numFmtId="0" fontId="40" fillId="0" borderId="64" xfId="104" applyFont="1" applyBorder="1" applyAlignment="1">
      <alignment wrapText="1"/>
      <protection/>
    </xf>
    <xf numFmtId="0" fontId="36" fillId="0" borderId="24" xfId="0" applyFont="1" applyBorder="1" applyAlignment="1">
      <alignment wrapText="1"/>
    </xf>
    <xf numFmtId="3" fontId="40" fillId="0" borderId="46" xfId="104" applyNumberFormat="1" applyFont="1" applyBorder="1" applyAlignment="1">
      <alignment wrapText="1"/>
      <protection/>
    </xf>
    <xf numFmtId="0" fontId="38" fillId="0" borderId="64" xfId="104" applyFont="1" applyBorder="1" applyAlignment="1">
      <alignment wrapText="1"/>
      <protection/>
    </xf>
    <xf numFmtId="0" fontId="38" fillId="0" borderId="45" xfId="104" applyFont="1" applyBorder="1" applyAlignment="1">
      <alignment horizontal="center"/>
      <protection/>
    </xf>
    <xf numFmtId="0" fontId="20" fillId="0" borderId="73" xfId="104" applyFont="1" applyBorder="1">
      <alignment/>
      <protection/>
    </xf>
    <xf numFmtId="0" fontId="22" fillId="0" borderId="73" xfId="104" applyFont="1" applyBorder="1">
      <alignment/>
      <protection/>
    </xf>
    <xf numFmtId="0" fontId="22" fillId="0" borderId="39" xfId="104" applyFont="1" applyBorder="1">
      <alignment/>
      <protection/>
    </xf>
    <xf numFmtId="0" fontId="22" fillId="0" borderId="81" xfId="104" applyFont="1" applyBorder="1">
      <alignment/>
      <protection/>
    </xf>
    <xf numFmtId="0" fontId="20" fillId="0" borderId="37" xfId="104" applyFont="1" applyBorder="1">
      <alignment/>
      <protection/>
    </xf>
    <xf numFmtId="3" fontId="22" fillId="0" borderId="24" xfId="0" applyNumberFormat="1" applyFont="1" applyBorder="1" applyAlignment="1">
      <alignment horizontal="right" wrapText="1"/>
    </xf>
    <xf numFmtId="3" fontId="20" fillId="0" borderId="24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0" fillId="0" borderId="22" xfId="0" applyNumberFormat="1" applyFont="1" applyBorder="1" applyAlignment="1">
      <alignment horizontal="center" vertical="center" wrapText="1"/>
    </xf>
    <xf numFmtId="3" fontId="59" fillId="0" borderId="16" xfId="0" applyNumberFormat="1" applyFont="1" applyBorder="1" applyAlignment="1">
      <alignment horizontal="left" wrapText="1"/>
    </xf>
    <xf numFmtId="3" fontId="59" fillId="0" borderId="18" xfId="0" applyNumberFormat="1" applyFont="1" applyBorder="1" applyAlignment="1">
      <alignment horizontal="left" wrapText="1"/>
    </xf>
    <xf numFmtId="0" fontId="49" fillId="0" borderId="43" xfId="102" applyFont="1" applyFill="1" applyBorder="1" applyAlignment="1">
      <alignment horizontal="center" vertical="center"/>
      <protection/>
    </xf>
    <xf numFmtId="3" fontId="59" fillId="0" borderId="38" xfId="0" applyNumberFormat="1" applyFont="1" applyBorder="1" applyAlignment="1">
      <alignment horizontal="left" wrapText="1"/>
    </xf>
    <xf numFmtId="0" fontId="28" fillId="0" borderId="18" xfId="102" applyFont="1" applyFill="1" applyBorder="1">
      <alignment/>
      <protection/>
    </xf>
    <xf numFmtId="0" fontId="28" fillId="0" borderId="22" xfId="102" applyFont="1" applyFill="1" applyBorder="1">
      <alignment/>
      <protection/>
    </xf>
    <xf numFmtId="0" fontId="28" fillId="0" borderId="28" xfId="0" applyFont="1" applyBorder="1" applyAlignment="1">
      <alignment/>
    </xf>
    <xf numFmtId="3" fontId="30" fillId="0" borderId="28" xfId="0" applyNumberFormat="1" applyFont="1" applyBorder="1" applyAlignment="1">
      <alignment horizontal="right"/>
    </xf>
    <xf numFmtId="0" fontId="28" fillId="0" borderId="30" xfId="0" applyFont="1" applyBorder="1" applyAlignment="1">
      <alignment/>
    </xf>
    <xf numFmtId="0" fontId="0" fillId="0" borderId="20" xfId="0" applyBorder="1" applyAlignment="1">
      <alignment/>
    </xf>
    <xf numFmtId="0" fontId="23" fillId="0" borderId="20" xfId="0" applyFont="1" applyBorder="1" applyAlignment="1">
      <alignment/>
    </xf>
    <xf numFmtId="0" fontId="0" fillId="0" borderId="22" xfId="0" applyBorder="1" applyAlignment="1">
      <alignment/>
    </xf>
    <xf numFmtId="3" fontId="30" fillId="0" borderId="31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/>
    </xf>
    <xf numFmtId="3" fontId="30" fillId="0" borderId="3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0" borderId="28" xfId="100" applyNumberFormat="1" applyFont="1" applyBorder="1" applyAlignment="1">
      <alignment/>
      <protection/>
    </xf>
    <xf numFmtId="3" fontId="30" fillId="0" borderId="28" xfId="100" applyNumberFormat="1" applyFont="1" applyBorder="1" applyAlignment="1">
      <alignment/>
      <protection/>
    </xf>
    <xf numFmtId="3" fontId="29" fillId="0" borderId="28" xfId="100" applyNumberFormat="1" applyFont="1" applyBorder="1" applyAlignment="1">
      <alignment/>
      <protection/>
    </xf>
    <xf numFmtId="3" fontId="29" fillId="0" borderId="60" xfId="100" applyNumberFormat="1" applyFont="1" applyBorder="1">
      <alignment/>
      <protection/>
    </xf>
    <xf numFmtId="3" fontId="30" fillId="0" borderId="31" xfId="0" applyNumberFormat="1" applyFont="1" applyBorder="1" applyAlignment="1">
      <alignment horizontal="center" wrapText="1"/>
    </xf>
    <xf numFmtId="0" fontId="25" fillId="0" borderId="20" xfId="100" applyBorder="1">
      <alignment/>
      <protection/>
    </xf>
    <xf numFmtId="0" fontId="26" fillId="0" borderId="20" xfId="100" applyFont="1" applyBorder="1">
      <alignment/>
      <protection/>
    </xf>
    <xf numFmtId="0" fontId="27" fillId="0" borderId="20" xfId="100" applyFont="1" applyBorder="1">
      <alignment/>
      <protection/>
    </xf>
    <xf numFmtId="3" fontId="20" fillId="0" borderId="37" xfId="0" applyNumberFormat="1" applyFont="1" applyBorder="1" applyAlignment="1">
      <alignment horizontal="center" wrapText="1"/>
    </xf>
    <xf numFmtId="0" fontId="30" fillId="0" borderId="82" xfId="0" applyFont="1" applyBorder="1" applyAlignment="1">
      <alignment horizontal="center" vertical="center" wrapText="1"/>
    </xf>
    <xf numFmtId="3" fontId="59" fillId="0" borderId="83" xfId="0" applyNumberFormat="1" applyFont="1" applyBorder="1" applyAlignment="1">
      <alignment horizontal="center" wrapText="1"/>
    </xf>
    <xf numFmtId="0" fontId="28" fillId="0" borderId="22" xfId="101" applyFont="1" applyBorder="1">
      <alignment/>
      <protection/>
    </xf>
    <xf numFmtId="0" fontId="30" fillId="0" borderId="16" xfId="101" applyFont="1" applyBorder="1">
      <alignment/>
      <protection/>
    </xf>
    <xf numFmtId="3" fontId="48" fillId="0" borderId="27" xfId="107" applyNumberFormat="1" applyFont="1" applyBorder="1" applyAlignment="1">
      <alignment vertical="center" wrapText="1"/>
      <protection/>
    </xf>
    <xf numFmtId="3" fontId="46" fillId="0" borderId="28" xfId="107" applyNumberFormat="1" applyFont="1" applyBorder="1" applyAlignment="1">
      <alignment vertical="center"/>
      <protection/>
    </xf>
    <xf numFmtId="3" fontId="48" fillId="0" borderId="77" xfId="107" applyNumberFormat="1" applyFont="1" applyBorder="1" applyAlignment="1">
      <alignment vertical="center"/>
      <protection/>
    </xf>
    <xf numFmtId="3" fontId="46" fillId="0" borderId="77" xfId="107" applyNumberFormat="1" applyFont="1" applyBorder="1" applyAlignment="1">
      <alignment vertical="center"/>
      <protection/>
    </xf>
    <xf numFmtId="3" fontId="45" fillId="0" borderId="30" xfId="107" applyNumberFormat="1" applyFont="1" applyBorder="1" applyAlignment="1">
      <alignment vertical="center"/>
      <protection/>
    </xf>
    <xf numFmtId="0" fontId="46" fillId="0" borderId="16" xfId="107" applyFont="1" applyBorder="1" applyAlignment="1">
      <alignment vertical="center"/>
      <protection/>
    </xf>
    <xf numFmtId="0" fontId="46" fillId="0" borderId="15" xfId="107" applyFont="1" applyBorder="1" applyAlignment="1">
      <alignment vertical="center"/>
      <protection/>
    </xf>
    <xf numFmtId="0" fontId="46" fillId="0" borderId="20" xfId="107" applyFont="1" applyBorder="1" applyAlignment="1">
      <alignment vertical="center"/>
      <protection/>
    </xf>
    <xf numFmtId="3" fontId="45" fillId="0" borderId="61" xfId="107" applyNumberFormat="1" applyFont="1" applyBorder="1" applyAlignment="1">
      <alignment vertical="center"/>
      <protection/>
    </xf>
    <xf numFmtId="3" fontId="48" fillId="0" borderId="28" xfId="107" applyNumberFormat="1" applyFont="1" applyBorder="1" applyAlignment="1">
      <alignment vertical="center"/>
      <protection/>
    </xf>
    <xf numFmtId="3" fontId="45" fillId="0" borderId="28" xfId="107" applyNumberFormat="1" applyFont="1" applyBorder="1" applyAlignment="1">
      <alignment vertical="center"/>
      <protection/>
    </xf>
    <xf numFmtId="3" fontId="48" fillId="0" borderId="28" xfId="108" applyNumberFormat="1" applyFont="1" applyBorder="1" applyAlignment="1">
      <alignment vertical="center"/>
      <protection/>
    </xf>
    <xf numFmtId="3" fontId="46" fillId="0" borderId="28" xfId="108" applyNumberFormat="1" applyFont="1" applyBorder="1" applyAlignment="1">
      <alignment vertical="center"/>
      <protection/>
    </xf>
    <xf numFmtId="3" fontId="45" fillId="0" borderId="38" xfId="107" applyNumberFormat="1" applyFont="1" applyBorder="1" applyAlignment="1">
      <alignment horizontal="center" vertical="center" wrapText="1"/>
      <protection/>
    </xf>
    <xf numFmtId="3" fontId="45" fillId="0" borderId="44" xfId="107" applyNumberFormat="1" applyFont="1" applyBorder="1" applyAlignment="1">
      <alignment horizontal="center" vertical="center" wrapText="1"/>
      <protection/>
    </xf>
    <xf numFmtId="0" fontId="46" fillId="0" borderId="13" xfId="107" applyFont="1" applyBorder="1" applyAlignment="1">
      <alignment vertical="center"/>
      <protection/>
    </xf>
    <xf numFmtId="0" fontId="46" fillId="0" borderId="14" xfId="107" applyFont="1" applyBorder="1" applyAlignment="1">
      <alignment vertical="center"/>
      <protection/>
    </xf>
    <xf numFmtId="0" fontId="46" fillId="0" borderId="40" xfId="107" applyFont="1" applyBorder="1" applyAlignment="1">
      <alignment vertical="center"/>
      <protection/>
    </xf>
    <xf numFmtId="0" fontId="28" fillId="0" borderId="16" xfId="100" applyFont="1" applyFill="1" applyBorder="1">
      <alignment/>
      <protection/>
    </xf>
    <xf numFmtId="0" fontId="30" fillId="0" borderId="16" xfId="100" applyFont="1" applyFill="1" applyBorder="1">
      <alignment/>
      <protection/>
    </xf>
    <xf numFmtId="3" fontId="49" fillId="0" borderId="14" xfId="0" applyNumberFormat="1" applyFont="1" applyBorder="1" applyAlignment="1">
      <alignment horizontal="center" wrapText="1"/>
    </xf>
    <xf numFmtId="3" fontId="30" fillId="0" borderId="18" xfId="100" applyNumberFormat="1" applyFont="1" applyFill="1" applyBorder="1">
      <alignment/>
      <protection/>
    </xf>
    <xf numFmtId="0" fontId="25" fillId="0" borderId="0" xfId="100" applyFill="1" applyBorder="1" applyAlignment="1">
      <alignment wrapText="1"/>
      <protection/>
    </xf>
    <xf numFmtId="0" fontId="28" fillId="0" borderId="0" xfId="100" applyFont="1" applyFill="1" applyBorder="1">
      <alignment/>
      <protection/>
    </xf>
    <xf numFmtId="3" fontId="59" fillId="0" borderId="14" xfId="0" applyNumberFormat="1" applyFont="1" applyBorder="1" applyAlignment="1">
      <alignment horizontal="center" wrapText="1"/>
    </xf>
    <xf numFmtId="49" fontId="22" fillId="0" borderId="15" xfId="0" applyNumberFormat="1" applyFont="1" applyBorder="1" applyAlignment="1">
      <alignment vertical="top" wrapText="1"/>
    </xf>
    <xf numFmtId="0" fontId="61" fillId="0" borderId="15" xfId="100" applyFont="1" applyBorder="1" applyAlignment="1">
      <alignment wrapText="1"/>
      <protection/>
    </xf>
    <xf numFmtId="3" fontId="61" fillId="0" borderId="16" xfId="100" applyNumberFormat="1" applyFont="1" applyBorder="1">
      <alignment/>
      <protection/>
    </xf>
    <xf numFmtId="3" fontId="61" fillId="0" borderId="28" xfId="100" applyNumberFormat="1" applyFont="1" applyBorder="1">
      <alignment/>
      <protection/>
    </xf>
    <xf numFmtId="0" fontId="30" fillId="0" borderId="20" xfId="101" applyFont="1" applyBorder="1">
      <alignment/>
      <protection/>
    </xf>
    <xf numFmtId="0" fontId="28" fillId="0" borderId="16" xfId="101" applyFont="1" applyBorder="1">
      <alignment/>
      <protection/>
    </xf>
    <xf numFmtId="3" fontId="30" fillId="0" borderId="20" xfId="100" applyNumberFormat="1" applyFont="1" applyBorder="1">
      <alignment/>
      <protection/>
    </xf>
    <xf numFmtId="3" fontId="28" fillId="0" borderId="20" xfId="100" applyNumberFormat="1" applyFont="1" applyBorder="1" applyAlignment="1">
      <alignment/>
      <protection/>
    </xf>
    <xf numFmtId="3" fontId="34" fillId="0" borderId="20" xfId="100" applyNumberFormat="1" applyFont="1" applyBorder="1">
      <alignment/>
      <protection/>
    </xf>
    <xf numFmtId="3" fontId="29" fillId="0" borderId="20" xfId="100" applyNumberFormat="1" applyFont="1" applyBorder="1">
      <alignment/>
      <protection/>
    </xf>
    <xf numFmtId="3" fontId="30" fillId="0" borderId="20" xfId="100" applyNumberFormat="1" applyFont="1" applyBorder="1" applyAlignment="1">
      <alignment/>
      <protection/>
    </xf>
    <xf numFmtId="3" fontId="61" fillId="0" borderId="20" xfId="100" applyNumberFormat="1" applyFont="1" applyBorder="1">
      <alignment/>
      <protection/>
    </xf>
    <xf numFmtId="3" fontId="29" fillId="0" borderId="44" xfId="100" applyNumberFormat="1" applyFont="1" applyBorder="1">
      <alignment/>
      <protection/>
    </xf>
    <xf numFmtId="3" fontId="30" fillId="0" borderId="22" xfId="100" applyNumberFormat="1" applyFont="1" applyBorder="1">
      <alignment/>
      <protection/>
    </xf>
    <xf numFmtId="3" fontId="20" fillId="0" borderId="20" xfId="100" applyNumberFormat="1" applyFont="1" applyBorder="1">
      <alignment/>
      <protection/>
    </xf>
    <xf numFmtId="3" fontId="20" fillId="0" borderId="22" xfId="100" applyNumberFormat="1" applyFont="1" applyBorder="1">
      <alignment/>
      <protection/>
    </xf>
    <xf numFmtId="3" fontId="45" fillId="0" borderId="20" xfId="108" applyNumberFormat="1" applyFont="1" applyBorder="1">
      <alignment/>
      <protection/>
    </xf>
    <xf numFmtId="3" fontId="48" fillId="0" borderId="20" xfId="108" applyNumberFormat="1" applyFont="1" applyBorder="1">
      <alignment/>
      <protection/>
    </xf>
    <xf numFmtId="3" fontId="46" fillId="0" borderId="20" xfId="108" applyNumberFormat="1" applyFont="1" applyBorder="1">
      <alignment/>
      <protection/>
    </xf>
    <xf numFmtId="3" fontId="45" fillId="0" borderId="22" xfId="108" applyNumberFormat="1" applyFont="1" applyBorder="1">
      <alignment/>
      <protection/>
    </xf>
    <xf numFmtId="3" fontId="30" fillId="0" borderId="20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20" xfId="101" applyNumberFormat="1" applyFont="1" applyBorder="1">
      <alignment/>
      <protection/>
    </xf>
    <xf numFmtId="0" fontId="28" fillId="0" borderId="17" xfId="101" applyFont="1" applyBorder="1">
      <alignment/>
      <protection/>
    </xf>
    <xf numFmtId="0" fontId="28" fillId="0" borderId="18" xfId="101" applyFont="1" applyBorder="1">
      <alignment/>
      <protection/>
    </xf>
    <xf numFmtId="0" fontId="28" fillId="0" borderId="0" xfId="100" applyFont="1" applyBorder="1">
      <alignment/>
      <protection/>
    </xf>
    <xf numFmtId="3" fontId="28" fillId="0" borderId="0" xfId="100" applyNumberFormat="1" applyFont="1">
      <alignment/>
      <protection/>
    </xf>
    <xf numFmtId="0" fontId="30" fillId="0" borderId="84" xfId="100" applyFont="1" applyBorder="1" applyAlignment="1">
      <alignment wrapText="1"/>
      <protection/>
    </xf>
    <xf numFmtId="3" fontId="30" fillId="0" borderId="85" xfId="100" applyNumberFormat="1" applyFont="1" applyBorder="1" applyAlignment="1">
      <alignment horizontal="center"/>
      <protection/>
    </xf>
    <xf numFmtId="3" fontId="30" fillId="0" borderId="86" xfId="0" applyNumberFormat="1" applyFont="1" applyBorder="1" applyAlignment="1">
      <alignment horizontal="center" wrapText="1"/>
    </xf>
    <xf numFmtId="3" fontId="30" fillId="0" borderId="87" xfId="0" applyNumberFormat="1" applyFont="1" applyBorder="1" applyAlignment="1">
      <alignment horizontal="center" wrapText="1"/>
    </xf>
    <xf numFmtId="0" fontId="28" fillId="0" borderId="88" xfId="100" applyFont="1" applyBorder="1" applyAlignment="1">
      <alignment wrapText="1"/>
      <protection/>
    </xf>
    <xf numFmtId="3" fontId="28" fillId="0" borderId="89" xfId="100" applyNumberFormat="1" applyFont="1" applyBorder="1">
      <alignment/>
      <protection/>
    </xf>
    <xf numFmtId="3" fontId="28" fillId="0" borderId="90" xfId="100" applyNumberFormat="1" applyFont="1" applyBorder="1" applyAlignment="1">
      <alignment/>
      <protection/>
    </xf>
    <xf numFmtId="3" fontId="28" fillId="0" borderId="91" xfId="100" applyNumberFormat="1" applyFont="1" applyBorder="1">
      <alignment/>
      <protection/>
    </xf>
    <xf numFmtId="0" fontId="30" fillId="0" borderId="88" xfId="100" applyFont="1" applyBorder="1" applyAlignment="1">
      <alignment wrapText="1"/>
      <protection/>
    </xf>
    <xf numFmtId="3" fontId="30" fillId="0" borderId="89" xfId="100" applyNumberFormat="1" applyFont="1" applyBorder="1">
      <alignment/>
      <protection/>
    </xf>
    <xf numFmtId="3" fontId="30" fillId="0" borderId="90" xfId="100" applyNumberFormat="1" applyFont="1" applyBorder="1">
      <alignment/>
      <protection/>
    </xf>
    <xf numFmtId="3" fontId="30" fillId="0" borderId="89" xfId="100" applyNumberFormat="1" applyFont="1" applyBorder="1">
      <alignment/>
      <protection/>
    </xf>
    <xf numFmtId="3" fontId="28" fillId="0" borderId="89" xfId="100" applyNumberFormat="1" applyFont="1" applyBorder="1" applyAlignment="1">
      <alignment/>
      <protection/>
    </xf>
    <xf numFmtId="3" fontId="28" fillId="0" borderId="89" xfId="100" applyNumberFormat="1" applyFont="1" applyBorder="1">
      <alignment/>
      <protection/>
    </xf>
    <xf numFmtId="3" fontId="30" fillId="0" borderId="90" xfId="100" applyNumberFormat="1" applyFont="1" applyBorder="1" applyAlignment="1">
      <alignment/>
      <protection/>
    </xf>
    <xf numFmtId="3" fontId="28" fillId="0" borderId="90" xfId="100" applyNumberFormat="1" applyFont="1" applyBorder="1">
      <alignment/>
      <protection/>
    </xf>
    <xf numFmtId="0" fontId="30" fillId="0" borderId="92" xfId="100" applyFont="1" applyBorder="1" applyAlignment="1">
      <alignment wrapText="1"/>
      <protection/>
    </xf>
    <xf numFmtId="3" fontId="30" fillId="0" borderId="93" xfId="100" applyNumberFormat="1" applyFont="1" applyBorder="1">
      <alignment/>
      <protection/>
    </xf>
    <xf numFmtId="3" fontId="30" fillId="0" borderId="94" xfId="100" applyNumberFormat="1" applyFont="1" applyBorder="1">
      <alignment/>
      <protection/>
    </xf>
    <xf numFmtId="3" fontId="29" fillId="0" borderId="0" xfId="100" applyNumberFormat="1" applyFont="1" applyBorder="1">
      <alignment/>
      <protection/>
    </xf>
    <xf numFmtId="3" fontId="30" fillId="0" borderId="95" xfId="0" applyNumberFormat="1" applyFont="1" applyBorder="1" applyAlignment="1">
      <alignment horizontal="center" wrapText="1"/>
    </xf>
    <xf numFmtId="3" fontId="30" fillId="0" borderId="96" xfId="0" applyNumberFormat="1" applyFont="1" applyBorder="1" applyAlignment="1">
      <alignment horizontal="center" wrapText="1"/>
    </xf>
    <xf numFmtId="0" fontId="29" fillId="0" borderId="88" xfId="100" applyFont="1" applyBorder="1" applyAlignment="1">
      <alignment wrapText="1"/>
      <protection/>
    </xf>
    <xf numFmtId="3" fontId="29" fillId="0" borderId="89" xfId="100" applyNumberFormat="1" applyFont="1" applyBorder="1">
      <alignment/>
      <protection/>
    </xf>
    <xf numFmtId="3" fontId="29" fillId="0" borderId="90" xfId="100" applyNumberFormat="1" applyFont="1" applyBorder="1">
      <alignment/>
      <protection/>
    </xf>
    <xf numFmtId="0" fontId="34" fillId="0" borderId="88" xfId="100" applyFont="1" applyBorder="1" applyAlignment="1">
      <alignment wrapText="1"/>
      <protection/>
    </xf>
    <xf numFmtId="3" fontId="34" fillId="0" borderId="89" xfId="100" applyNumberFormat="1" applyFont="1" applyBorder="1">
      <alignment/>
      <protection/>
    </xf>
    <xf numFmtId="3" fontId="34" fillId="0" borderId="90" xfId="100" applyNumberFormat="1" applyFont="1" applyBorder="1">
      <alignment/>
      <protection/>
    </xf>
    <xf numFmtId="3" fontId="49" fillId="0" borderId="31" xfId="0" applyNumberFormat="1" applyFont="1" applyBorder="1" applyAlignment="1">
      <alignment horizontal="center" wrapText="1"/>
    </xf>
    <xf numFmtId="0" fontId="28" fillId="0" borderId="28" xfId="100" applyFont="1" applyFill="1" applyBorder="1">
      <alignment/>
      <protection/>
    </xf>
    <xf numFmtId="0" fontId="28" fillId="0" borderId="20" xfId="100" applyFont="1" applyFill="1" applyBorder="1">
      <alignment/>
      <protection/>
    </xf>
    <xf numFmtId="3" fontId="28" fillId="0" borderId="28" xfId="100" applyNumberFormat="1" applyFont="1" applyFill="1" applyBorder="1">
      <alignment/>
      <protection/>
    </xf>
    <xf numFmtId="3" fontId="28" fillId="0" borderId="20" xfId="100" applyNumberFormat="1" applyFont="1" applyFill="1" applyBorder="1">
      <alignment/>
      <protection/>
    </xf>
    <xf numFmtId="3" fontId="28" fillId="52" borderId="20" xfId="100" applyNumberFormat="1" applyFont="1" applyFill="1" applyBorder="1">
      <alignment/>
      <protection/>
    </xf>
    <xf numFmtId="3" fontId="30" fillId="0" borderId="28" xfId="100" applyNumberFormat="1" applyFont="1" applyFill="1" applyBorder="1">
      <alignment/>
      <protection/>
    </xf>
    <xf numFmtId="3" fontId="30" fillId="0" borderId="20" xfId="100" applyNumberFormat="1" applyFont="1" applyFill="1" applyBorder="1">
      <alignment/>
      <protection/>
    </xf>
    <xf numFmtId="0" fontId="30" fillId="0" borderId="28" xfId="100" applyFont="1" applyFill="1" applyBorder="1">
      <alignment/>
      <protection/>
    </xf>
    <xf numFmtId="0" fontId="30" fillId="0" borderId="20" xfId="100" applyFont="1" applyFill="1" applyBorder="1">
      <alignment/>
      <protection/>
    </xf>
    <xf numFmtId="3" fontId="34" fillId="0" borderId="20" xfId="100" applyNumberFormat="1" applyFont="1" applyFill="1" applyBorder="1">
      <alignment/>
      <protection/>
    </xf>
    <xf numFmtId="3" fontId="30" fillId="0" borderId="22" xfId="100" applyNumberFormat="1" applyFont="1" applyFill="1" applyBorder="1">
      <alignment/>
      <protection/>
    </xf>
    <xf numFmtId="3" fontId="28" fillId="0" borderId="0" xfId="100" applyNumberFormat="1" applyFont="1" applyFill="1" applyAlignment="1">
      <alignment/>
      <protection/>
    </xf>
    <xf numFmtId="3" fontId="28" fillId="0" borderId="20" xfId="100" applyNumberFormat="1" applyFont="1" applyFill="1" applyBorder="1" applyAlignment="1">
      <alignment/>
      <protection/>
    </xf>
    <xf numFmtId="3" fontId="28" fillId="52" borderId="20" xfId="100" applyNumberFormat="1" applyFont="1" applyFill="1" applyBorder="1" applyAlignment="1">
      <alignment/>
      <protection/>
    </xf>
    <xf numFmtId="3" fontId="48" fillId="0" borderId="14" xfId="107" applyNumberFormat="1" applyFont="1" applyBorder="1" applyAlignment="1">
      <alignment vertical="center" wrapText="1"/>
      <protection/>
    </xf>
    <xf numFmtId="3" fontId="48" fillId="0" borderId="40" xfId="107" applyNumberFormat="1" applyFont="1" applyBorder="1" applyAlignment="1">
      <alignment vertical="center" wrapText="1"/>
      <protection/>
    </xf>
    <xf numFmtId="3" fontId="38" fillId="0" borderId="28" xfId="0" applyNumberFormat="1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 vertical="center" wrapText="1"/>
    </xf>
    <xf numFmtId="3" fontId="32" fillId="0" borderId="22" xfId="0" applyNumberFormat="1" applyFont="1" applyBorder="1" applyAlignment="1">
      <alignment horizontal="right" vertical="center" wrapText="1"/>
    </xf>
    <xf numFmtId="3" fontId="22" fillId="0" borderId="77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52" fillId="0" borderId="33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28" fillId="0" borderId="88" xfId="100" applyFont="1" applyFill="1" applyBorder="1" applyAlignment="1">
      <alignment wrapText="1"/>
      <protection/>
    </xf>
    <xf numFmtId="3" fontId="28" fillId="0" borderId="89" xfId="100" applyNumberFormat="1" applyFont="1" applyFill="1" applyBorder="1">
      <alignment/>
      <protection/>
    </xf>
    <xf numFmtId="3" fontId="28" fillId="0" borderId="90" xfId="100" applyNumberFormat="1" applyFont="1" applyFill="1" applyBorder="1" applyAlignment="1">
      <alignment/>
      <protection/>
    </xf>
    <xf numFmtId="3" fontId="28" fillId="0" borderId="89" xfId="100" applyNumberFormat="1" applyFont="1" applyFill="1" applyBorder="1">
      <alignment/>
      <protection/>
    </xf>
    <xf numFmtId="3" fontId="28" fillId="0" borderId="91" xfId="100" applyNumberFormat="1" applyFont="1" applyFill="1" applyBorder="1">
      <alignment/>
      <protection/>
    </xf>
    <xf numFmtId="0" fontId="30" fillId="0" borderId="88" xfId="100" applyFont="1" applyFill="1" applyBorder="1" applyAlignment="1">
      <alignment wrapText="1"/>
      <protection/>
    </xf>
    <xf numFmtId="3" fontId="30" fillId="0" borderId="89" xfId="100" applyNumberFormat="1" applyFont="1" applyFill="1" applyBorder="1">
      <alignment/>
      <protection/>
    </xf>
    <xf numFmtId="3" fontId="30" fillId="0" borderId="90" xfId="100" applyNumberFormat="1" applyFont="1" applyFill="1" applyBorder="1">
      <alignment/>
      <protection/>
    </xf>
    <xf numFmtId="2" fontId="28" fillId="0" borderId="26" xfId="0" applyNumberFormat="1" applyFont="1" applyBorder="1" applyAlignment="1">
      <alignment horizontal="center" vertical="top" wrapText="1"/>
    </xf>
    <xf numFmtId="2" fontId="43" fillId="0" borderId="20" xfId="0" applyNumberFormat="1" applyFont="1" applyBorder="1" applyAlignment="1">
      <alignment horizontal="center" vertical="top" wrapText="1"/>
    </xf>
    <xf numFmtId="2" fontId="34" fillId="0" borderId="20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 vertical="top" wrapText="1"/>
    </xf>
    <xf numFmtId="2" fontId="30" fillId="0" borderId="22" xfId="0" applyNumberFormat="1" applyFont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7" xfId="0" applyFill="1" applyBorder="1" applyAlignment="1">
      <alignment/>
    </xf>
    <xf numFmtId="0" fontId="22" fillId="0" borderId="98" xfId="0" applyFont="1" applyFill="1" applyBorder="1" applyAlignment="1">
      <alignment horizontal="center"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center" vertical="center" wrapText="1"/>
    </xf>
    <xf numFmtId="49" fontId="22" fillId="0" borderId="104" xfId="0" applyNumberFormat="1" applyFont="1" applyFill="1" applyBorder="1" applyAlignment="1">
      <alignment horizontal="left" vertical="center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53" fillId="0" borderId="107" xfId="0" applyFont="1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109" xfId="0" applyFill="1" applyBorder="1" applyAlignment="1">
      <alignment/>
    </xf>
    <xf numFmtId="0" fontId="64" fillId="0" borderId="110" xfId="0" applyFont="1" applyFill="1" applyBorder="1" applyAlignment="1">
      <alignment/>
    </xf>
    <xf numFmtId="49" fontId="64" fillId="0" borderId="111" xfId="0" applyNumberFormat="1" applyFont="1" applyFill="1" applyBorder="1" applyAlignment="1">
      <alignment/>
    </xf>
    <xf numFmtId="2" fontId="21" fillId="0" borderId="112" xfId="0" applyNumberFormat="1" applyFont="1" applyFill="1" applyBorder="1" applyAlignment="1">
      <alignment/>
    </xf>
    <xf numFmtId="3" fontId="21" fillId="0" borderId="112" xfId="0" applyNumberFormat="1" applyFont="1" applyFill="1" applyBorder="1" applyAlignment="1">
      <alignment horizontal="center"/>
    </xf>
    <xf numFmtId="3" fontId="21" fillId="0" borderId="112" xfId="0" applyNumberFormat="1" applyFont="1" applyFill="1" applyBorder="1" applyAlignment="1">
      <alignment horizontal="right"/>
    </xf>
    <xf numFmtId="3" fontId="64" fillId="0" borderId="107" xfId="0" applyNumberFormat="1" applyFont="1" applyFill="1" applyBorder="1" applyAlignment="1">
      <alignment horizontal="right"/>
    </xf>
    <xf numFmtId="3" fontId="64" fillId="0" borderId="90" xfId="0" applyNumberFormat="1" applyFont="1" applyFill="1" applyBorder="1" applyAlignment="1">
      <alignment horizontal="right"/>
    </xf>
    <xf numFmtId="3" fontId="64" fillId="0" borderId="28" xfId="0" applyNumberFormat="1" applyFont="1" applyFill="1" applyBorder="1" applyAlignment="1">
      <alignment horizontal="right"/>
    </xf>
    <xf numFmtId="3" fontId="64" fillId="0" borderId="113" xfId="0" applyNumberFormat="1" applyFont="1" applyFill="1" applyBorder="1" applyAlignment="1">
      <alignment horizontal="right"/>
    </xf>
    <xf numFmtId="0" fontId="21" fillId="0" borderId="114" xfId="0" applyFont="1" applyFill="1" applyBorder="1" applyAlignment="1">
      <alignment/>
    </xf>
    <xf numFmtId="49" fontId="21" fillId="0" borderId="115" xfId="0" applyNumberFormat="1" applyFont="1" applyFill="1" applyBorder="1" applyAlignment="1">
      <alignment/>
    </xf>
    <xf numFmtId="2" fontId="21" fillId="0" borderId="89" xfId="0" applyNumberFormat="1" applyFont="1" applyFill="1" applyBorder="1" applyAlignment="1">
      <alignment/>
    </xf>
    <xf numFmtId="3" fontId="21" fillId="0" borderId="89" xfId="0" applyNumberFormat="1" applyFont="1" applyFill="1" applyBorder="1" applyAlignment="1">
      <alignment horizontal="center"/>
    </xf>
    <xf numFmtId="3" fontId="21" fillId="0" borderId="89" xfId="0" applyNumberFormat="1" applyFont="1" applyFill="1" applyBorder="1" applyAlignment="1">
      <alignment horizontal="right"/>
    </xf>
    <xf numFmtId="3" fontId="21" fillId="0" borderId="90" xfId="0" applyNumberFormat="1" applyFont="1" applyFill="1" applyBorder="1" applyAlignment="1">
      <alignment horizontal="right"/>
    </xf>
    <xf numFmtId="3" fontId="21" fillId="0" borderId="116" xfId="0" applyNumberFormat="1" applyFont="1" applyFill="1" applyBorder="1" applyAlignment="1">
      <alignment horizontal="right"/>
    </xf>
    <xf numFmtId="3" fontId="21" fillId="0" borderId="117" xfId="0" applyNumberFormat="1" applyFont="1" applyFill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3" fontId="21" fillId="0" borderId="113" xfId="0" applyNumberFormat="1" applyFont="1" applyFill="1" applyBorder="1" applyAlignment="1">
      <alignment horizontal="right"/>
    </xf>
    <xf numFmtId="0" fontId="36" fillId="0" borderId="114" xfId="0" applyFont="1" applyFill="1" applyBorder="1" applyAlignment="1">
      <alignment/>
    </xf>
    <xf numFmtId="49" fontId="36" fillId="0" borderId="115" xfId="0" applyNumberFormat="1" applyFont="1" applyFill="1" applyBorder="1" applyAlignment="1">
      <alignment/>
    </xf>
    <xf numFmtId="172" fontId="21" fillId="0" borderId="89" xfId="0" applyNumberFormat="1" applyFont="1" applyFill="1" applyBorder="1" applyAlignment="1">
      <alignment horizontal="right"/>
    </xf>
    <xf numFmtId="3" fontId="36" fillId="0" borderId="90" xfId="0" applyNumberFormat="1" applyFont="1" applyFill="1" applyBorder="1" applyAlignment="1">
      <alignment horizontal="right"/>
    </xf>
    <xf numFmtId="3" fontId="36" fillId="0" borderId="117" xfId="0" applyNumberFormat="1" applyFont="1" applyFill="1" applyBorder="1" applyAlignment="1">
      <alignment horizontal="right"/>
    </xf>
    <xf numFmtId="3" fontId="36" fillId="0" borderId="28" xfId="0" applyNumberFormat="1" applyFont="1" applyFill="1" applyBorder="1" applyAlignment="1">
      <alignment horizontal="right"/>
    </xf>
    <xf numFmtId="3" fontId="36" fillId="0" borderId="113" xfId="0" applyNumberFormat="1" applyFont="1" applyFill="1" applyBorder="1" applyAlignment="1">
      <alignment horizontal="right"/>
    </xf>
    <xf numFmtId="49" fontId="54" fillId="0" borderId="115" xfId="0" applyNumberFormat="1" applyFont="1" applyFill="1" applyBorder="1" applyAlignment="1">
      <alignment/>
    </xf>
    <xf numFmtId="0" fontId="31" fillId="0" borderId="89" xfId="0" applyFont="1" applyFill="1" applyBorder="1" applyAlignment="1">
      <alignment/>
    </xf>
    <xf numFmtId="3" fontId="31" fillId="0" borderId="89" xfId="0" applyNumberFormat="1" applyFont="1" applyFill="1" applyBorder="1" applyAlignment="1">
      <alignment horizontal="center"/>
    </xf>
    <xf numFmtId="3" fontId="31" fillId="0" borderId="89" xfId="0" applyNumberFormat="1" applyFont="1" applyFill="1" applyBorder="1" applyAlignment="1">
      <alignment horizontal="right"/>
    </xf>
    <xf numFmtId="3" fontId="31" fillId="0" borderId="116" xfId="0" applyNumberFormat="1" applyFont="1" applyFill="1" applyBorder="1" applyAlignment="1">
      <alignment horizontal="right"/>
    </xf>
    <xf numFmtId="0" fontId="36" fillId="0" borderId="89" xfId="0" applyFont="1" applyFill="1" applyBorder="1" applyAlignment="1">
      <alignment/>
    </xf>
    <xf numFmtId="3" fontId="36" fillId="0" borderId="89" xfId="0" applyNumberFormat="1" applyFont="1" applyFill="1" applyBorder="1" applyAlignment="1">
      <alignment horizontal="right"/>
    </xf>
    <xf numFmtId="3" fontId="21" fillId="0" borderId="89" xfId="0" applyNumberFormat="1" applyFont="1" applyFill="1" applyBorder="1" applyAlignment="1">
      <alignment/>
    </xf>
    <xf numFmtId="0" fontId="21" fillId="0" borderId="89" xfId="0" applyFont="1" applyFill="1" applyBorder="1" applyAlignment="1">
      <alignment/>
    </xf>
    <xf numFmtId="0" fontId="64" fillId="0" borderId="114" xfId="0" applyFont="1" applyFill="1" applyBorder="1" applyAlignment="1">
      <alignment/>
    </xf>
    <xf numFmtId="49" fontId="64" fillId="0" borderId="115" xfId="0" applyNumberFormat="1" applyFont="1" applyFill="1" applyBorder="1" applyAlignment="1">
      <alignment/>
    </xf>
    <xf numFmtId="49" fontId="31" fillId="0" borderId="89" xfId="0" applyNumberFormat="1" applyFont="1" applyFill="1" applyBorder="1" applyAlignment="1">
      <alignment horizontal="right"/>
    </xf>
    <xf numFmtId="49" fontId="31" fillId="0" borderId="116" xfId="0" applyNumberFormat="1" applyFont="1" applyFill="1" applyBorder="1" applyAlignment="1">
      <alignment horizontal="right"/>
    </xf>
    <xf numFmtId="3" fontId="64" fillId="0" borderId="117" xfId="0" applyNumberFormat="1" applyFont="1" applyFill="1" applyBorder="1" applyAlignment="1">
      <alignment horizontal="right"/>
    </xf>
    <xf numFmtId="3" fontId="64" fillId="0" borderId="118" xfId="0" applyNumberFormat="1" applyFont="1" applyFill="1" applyBorder="1" applyAlignment="1">
      <alignment horizontal="right"/>
    </xf>
    <xf numFmtId="3" fontId="22" fillId="0" borderId="116" xfId="0" applyNumberFormat="1" applyFont="1" applyFill="1" applyBorder="1" applyAlignment="1">
      <alignment horizontal="right" vertical="center" wrapText="1"/>
    </xf>
    <xf numFmtId="0" fontId="35" fillId="0" borderId="114" xfId="0" applyFont="1" applyFill="1" applyBorder="1" applyAlignment="1">
      <alignment/>
    </xf>
    <xf numFmtId="49" fontId="35" fillId="0" borderId="115" xfId="0" applyNumberFormat="1" applyFont="1" applyFill="1" applyBorder="1" applyAlignment="1">
      <alignment/>
    </xf>
    <xf numFmtId="0" fontId="35" fillId="0" borderId="89" xfId="0" applyFont="1" applyFill="1" applyBorder="1" applyAlignment="1">
      <alignment/>
    </xf>
    <xf numFmtId="3" fontId="35" fillId="0" borderId="89" xfId="0" applyNumberFormat="1" applyFont="1" applyFill="1" applyBorder="1" applyAlignment="1">
      <alignment horizontal="center"/>
    </xf>
    <xf numFmtId="0" fontId="35" fillId="0" borderId="89" xfId="0" applyFont="1" applyFill="1" applyBorder="1" applyAlignment="1">
      <alignment horizontal="right" vertical="center" wrapText="1"/>
    </xf>
    <xf numFmtId="3" fontId="35" fillId="0" borderId="90" xfId="0" applyNumberFormat="1" applyFont="1" applyFill="1" applyBorder="1" applyAlignment="1">
      <alignment horizontal="right"/>
    </xf>
    <xf numFmtId="0" fontId="35" fillId="0" borderId="116" xfId="0" applyFont="1" applyFill="1" applyBorder="1" applyAlignment="1">
      <alignment horizontal="right" vertical="center" wrapText="1"/>
    </xf>
    <xf numFmtId="3" fontId="35" fillId="0" borderId="117" xfId="0" applyNumberFormat="1" applyFont="1" applyFill="1" applyBorder="1" applyAlignment="1">
      <alignment horizontal="right"/>
    </xf>
    <xf numFmtId="3" fontId="35" fillId="0" borderId="118" xfId="0" applyNumberFormat="1" applyFont="1" applyFill="1" applyBorder="1" applyAlignment="1">
      <alignment horizontal="right"/>
    </xf>
    <xf numFmtId="3" fontId="35" fillId="0" borderId="99" xfId="0" applyNumberFormat="1" applyFont="1" applyFill="1" applyBorder="1" applyAlignment="1">
      <alignment horizontal="right"/>
    </xf>
    <xf numFmtId="3" fontId="35" fillId="0" borderId="28" xfId="0" applyNumberFormat="1" applyFont="1" applyFill="1" applyBorder="1" applyAlignment="1">
      <alignment horizontal="right"/>
    </xf>
    <xf numFmtId="3" fontId="35" fillId="0" borderId="113" xfId="0" applyNumberFormat="1" applyFont="1" applyFill="1" applyBorder="1" applyAlignment="1">
      <alignment horizontal="right"/>
    </xf>
    <xf numFmtId="3" fontId="35" fillId="0" borderId="16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5" fillId="0" borderId="109" xfId="0" applyNumberFormat="1" applyFont="1" applyFill="1" applyBorder="1" applyAlignment="1">
      <alignment horizontal="right"/>
    </xf>
    <xf numFmtId="3" fontId="35" fillId="0" borderId="119" xfId="0" applyNumberFormat="1" applyFont="1" applyFill="1" applyBorder="1" applyAlignment="1">
      <alignment horizontal="right"/>
    </xf>
    <xf numFmtId="3" fontId="35" fillId="0" borderId="120" xfId="0" applyNumberFormat="1" applyFont="1" applyFill="1" applyBorder="1" applyAlignment="1">
      <alignment horizontal="right"/>
    </xf>
    <xf numFmtId="49" fontId="21" fillId="0" borderId="115" xfId="0" applyNumberFormat="1" applyFont="1" applyFill="1" applyBorder="1" applyAlignment="1">
      <alignment vertical="center" wrapText="1"/>
    </xf>
    <xf numFmtId="3" fontId="31" fillId="0" borderId="89" xfId="0" applyNumberFormat="1" applyFont="1" applyFill="1" applyBorder="1" applyAlignment="1">
      <alignment/>
    </xf>
    <xf numFmtId="3" fontId="64" fillId="0" borderId="119" xfId="0" applyNumberFormat="1" applyFont="1" applyFill="1" applyBorder="1" applyAlignment="1">
      <alignment horizontal="right"/>
    </xf>
    <xf numFmtId="172" fontId="31" fillId="0" borderId="89" xfId="0" applyNumberFormat="1" applyFont="1" applyFill="1" applyBorder="1" applyAlignment="1">
      <alignment/>
    </xf>
    <xf numFmtId="3" fontId="21" fillId="0" borderId="119" xfId="0" applyNumberFormat="1" applyFont="1" applyFill="1" applyBorder="1" applyAlignment="1">
      <alignment horizontal="right"/>
    </xf>
    <xf numFmtId="49" fontId="35" fillId="0" borderId="115" xfId="0" applyNumberFormat="1" applyFont="1" applyFill="1" applyBorder="1" applyAlignment="1">
      <alignment vertical="center" wrapText="1"/>
    </xf>
    <xf numFmtId="3" fontId="35" fillId="0" borderId="121" xfId="0" applyNumberFormat="1" applyFont="1" applyFill="1" applyBorder="1" applyAlignment="1">
      <alignment horizontal="right"/>
    </xf>
    <xf numFmtId="49" fontId="35" fillId="0" borderId="115" xfId="0" applyNumberFormat="1" applyFont="1" applyFill="1" applyBorder="1" applyAlignment="1">
      <alignment/>
    </xf>
    <xf numFmtId="49" fontId="65" fillId="0" borderId="115" xfId="0" applyNumberFormat="1" applyFont="1" applyFill="1" applyBorder="1" applyAlignment="1">
      <alignment/>
    </xf>
    <xf numFmtId="3" fontId="65" fillId="0" borderId="109" xfId="0" applyNumberFormat="1" applyFont="1" applyFill="1" applyBorder="1" applyAlignment="1">
      <alignment horizontal="right"/>
    </xf>
    <xf numFmtId="3" fontId="22" fillId="0" borderId="116" xfId="0" applyNumberFormat="1" applyFont="1" applyFill="1" applyBorder="1" applyAlignment="1">
      <alignment horizontal="right"/>
    </xf>
    <xf numFmtId="0" fontId="21" fillId="0" borderId="89" xfId="0" applyFont="1" applyFill="1" applyBorder="1" applyAlignment="1">
      <alignment horizontal="right"/>
    </xf>
    <xf numFmtId="170" fontId="21" fillId="0" borderId="89" xfId="0" applyNumberFormat="1" applyFont="1" applyFill="1" applyBorder="1" applyAlignment="1">
      <alignment horizontal="right"/>
    </xf>
    <xf numFmtId="3" fontId="64" fillId="0" borderId="121" xfId="0" applyNumberFormat="1" applyFont="1" applyFill="1" applyBorder="1" applyAlignment="1">
      <alignment horizontal="right"/>
    </xf>
    <xf numFmtId="0" fontId="21" fillId="0" borderId="98" xfId="0" applyFont="1" applyFill="1" applyBorder="1" applyAlignment="1">
      <alignment/>
    </xf>
    <xf numFmtId="49" fontId="35" fillId="0" borderId="114" xfId="0" applyNumberFormat="1" applyFont="1" applyFill="1" applyBorder="1" applyAlignment="1">
      <alignment vertical="center" wrapText="1"/>
    </xf>
    <xf numFmtId="49" fontId="35" fillId="0" borderId="88" xfId="0" applyNumberFormat="1" applyFont="1" applyFill="1" applyBorder="1" applyAlignment="1">
      <alignment/>
    </xf>
    <xf numFmtId="4" fontId="21" fillId="0" borderId="90" xfId="0" applyNumberFormat="1" applyFont="1" applyFill="1" applyBorder="1" applyAlignment="1">
      <alignment horizontal="right"/>
    </xf>
    <xf numFmtId="172" fontId="21" fillId="0" borderId="116" xfId="0" applyNumberFormat="1" applyFont="1" applyFill="1" applyBorder="1" applyAlignment="1">
      <alignment horizontal="right"/>
    </xf>
    <xf numFmtId="0" fontId="35" fillId="0" borderId="110" xfId="0" applyFont="1" applyFill="1" applyBorder="1" applyAlignment="1">
      <alignment/>
    </xf>
    <xf numFmtId="49" fontId="35" fillId="0" borderId="111" xfId="0" applyNumberFormat="1" applyFont="1" applyFill="1" applyBorder="1" applyAlignment="1">
      <alignment/>
    </xf>
    <xf numFmtId="3" fontId="21" fillId="0" borderId="112" xfId="0" applyNumberFormat="1" applyFont="1" applyFill="1" applyBorder="1" applyAlignment="1">
      <alignment/>
    </xf>
    <xf numFmtId="3" fontId="35" fillId="0" borderId="107" xfId="0" applyNumberFormat="1" applyFont="1" applyFill="1" applyBorder="1" applyAlignment="1">
      <alignment horizontal="right"/>
    </xf>
    <xf numFmtId="3" fontId="35" fillId="0" borderId="122" xfId="0" applyNumberFormat="1" applyFont="1" applyFill="1" applyBorder="1" applyAlignment="1">
      <alignment horizontal="right"/>
    </xf>
    <xf numFmtId="3" fontId="35" fillId="0" borderId="76" xfId="0" applyNumberFormat="1" applyFont="1" applyFill="1" applyBorder="1" applyAlignment="1">
      <alignment horizontal="right"/>
    </xf>
    <xf numFmtId="49" fontId="35" fillId="0" borderId="110" xfId="0" applyNumberFormat="1" applyFont="1" applyFill="1" applyBorder="1" applyAlignment="1">
      <alignment vertical="center" wrapText="1"/>
    </xf>
    <xf numFmtId="49" fontId="35" fillId="0" borderId="111" xfId="0" applyNumberFormat="1" applyFont="1" applyFill="1" applyBorder="1" applyAlignment="1">
      <alignment vertical="center" wrapText="1"/>
    </xf>
    <xf numFmtId="0" fontId="21" fillId="0" borderId="112" xfId="0" applyFont="1" applyFill="1" applyBorder="1" applyAlignment="1">
      <alignment/>
    </xf>
    <xf numFmtId="3" fontId="35" fillId="0" borderId="123" xfId="0" applyNumberFormat="1" applyFont="1" applyFill="1" applyBorder="1" applyAlignment="1">
      <alignment horizontal="right"/>
    </xf>
    <xf numFmtId="49" fontId="53" fillId="0" borderId="115" xfId="0" applyNumberFormat="1" applyFont="1" applyFill="1" applyBorder="1" applyAlignment="1">
      <alignment vertical="center" wrapText="1"/>
    </xf>
    <xf numFmtId="3" fontId="35" fillId="0" borderId="77" xfId="0" applyNumberFormat="1" applyFont="1" applyFill="1" applyBorder="1" applyAlignment="1">
      <alignment horizontal="right"/>
    </xf>
    <xf numFmtId="0" fontId="66" fillId="0" borderId="0" xfId="0" applyFont="1" applyFill="1" applyAlignment="1">
      <alignment horizontal="left" wrapText="1"/>
    </xf>
    <xf numFmtId="3" fontId="64" fillId="0" borderId="77" xfId="0" applyNumberFormat="1" applyFont="1" applyFill="1" applyBorder="1" applyAlignment="1">
      <alignment horizontal="right"/>
    </xf>
    <xf numFmtId="3" fontId="64" fillId="0" borderId="99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3" fontId="64" fillId="0" borderId="109" xfId="0" applyNumberFormat="1" applyFont="1" applyFill="1" applyBorder="1" applyAlignment="1">
      <alignment horizontal="right"/>
    </xf>
    <xf numFmtId="49" fontId="35" fillId="0" borderId="114" xfId="0" applyNumberFormat="1" applyFont="1" applyFill="1" applyBorder="1" applyAlignment="1">
      <alignment horizontal="left" wrapText="1"/>
    </xf>
    <xf numFmtId="3" fontId="21" fillId="0" borderId="98" xfId="0" applyNumberFormat="1" applyFont="1" applyFill="1" applyBorder="1" applyAlignment="1">
      <alignment horizontal="center"/>
    </xf>
    <xf numFmtId="3" fontId="21" fillId="0" borderId="98" xfId="0" applyNumberFormat="1" applyFont="1" applyFill="1" applyBorder="1" applyAlignment="1">
      <alignment horizontal="right"/>
    </xf>
    <xf numFmtId="3" fontId="21" fillId="0" borderId="124" xfId="0" applyNumberFormat="1" applyFont="1" applyFill="1" applyBorder="1" applyAlignment="1">
      <alignment horizontal="right"/>
    </xf>
    <xf numFmtId="3" fontId="35" fillId="0" borderId="125" xfId="0" applyNumberFormat="1" applyFont="1" applyFill="1" applyBorder="1" applyAlignment="1">
      <alignment horizontal="right"/>
    </xf>
    <xf numFmtId="49" fontId="21" fillId="0" borderId="89" xfId="0" applyNumberFormat="1" applyFont="1" applyFill="1" applyBorder="1" applyAlignment="1">
      <alignment horizontal="right"/>
    </xf>
    <xf numFmtId="49" fontId="21" fillId="0" borderId="116" xfId="0" applyNumberFormat="1" applyFont="1" applyFill="1" applyBorder="1" applyAlignment="1">
      <alignment horizontal="right"/>
    </xf>
    <xf numFmtId="3" fontId="36" fillId="0" borderId="119" xfId="0" applyNumberFormat="1" applyFont="1" applyFill="1" applyBorder="1" applyAlignment="1">
      <alignment horizontal="right"/>
    </xf>
    <xf numFmtId="49" fontId="22" fillId="0" borderId="115" xfId="0" applyNumberFormat="1" applyFont="1" applyFill="1" applyBorder="1" applyAlignment="1">
      <alignment vertical="center" wrapText="1"/>
    </xf>
    <xf numFmtId="3" fontId="31" fillId="0" borderId="89" xfId="0" applyNumberFormat="1" applyFont="1" applyFill="1" applyBorder="1" applyAlignment="1">
      <alignment horizontal="center" wrapText="1"/>
    </xf>
    <xf numFmtId="0" fontId="64" fillId="0" borderId="126" xfId="0" applyFont="1" applyFill="1" applyBorder="1" applyAlignment="1">
      <alignment/>
    </xf>
    <xf numFmtId="49" fontId="55" fillId="0" borderId="127" xfId="0" applyNumberFormat="1" applyFont="1" applyFill="1" applyBorder="1" applyAlignment="1">
      <alignment/>
    </xf>
    <xf numFmtId="0" fontId="55" fillId="0" borderId="100" xfId="0" applyFont="1" applyFill="1" applyBorder="1" applyAlignment="1">
      <alignment/>
    </xf>
    <xf numFmtId="3" fontId="64" fillId="0" borderId="100" xfId="0" applyNumberFormat="1" applyFont="1" applyFill="1" applyBorder="1" applyAlignment="1">
      <alignment horizontal="center"/>
    </xf>
    <xf numFmtId="3" fontId="64" fillId="0" borderId="100" xfId="0" applyNumberFormat="1" applyFont="1" applyFill="1" applyBorder="1" applyAlignment="1">
      <alignment/>
    </xf>
    <xf numFmtId="3" fontId="35" fillId="0" borderId="101" xfId="0" applyNumberFormat="1" applyFont="1" applyFill="1" applyBorder="1" applyAlignment="1">
      <alignment/>
    </xf>
    <xf numFmtId="3" fontId="64" fillId="0" borderId="128" xfId="0" applyNumberFormat="1" applyFont="1" applyFill="1" applyBorder="1" applyAlignment="1">
      <alignment/>
    </xf>
    <xf numFmtId="3" fontId="35" fillId="0" borderId="129" xfId="0" applyNumberFormat="1" applyFont="1" applyFill="1" applyBorder="1" applyAlignment="1">
      <alignment/>
    </xf>
    <xf numFmtId="3" fontId="35" fillId="0" borderId="130" xfId="0" applyNumberFormat="1" applyFont="1" applyFill="1" applyBorder="1" applyAlignment="1">
      <alignment/>
    </xf>
    <xf numFmtId="3" fontId="35" fillId="0" borderId="131" xfId="0" applyNumberFormat="1" applyFont="1" applyFill="1" applyBorder="1" applyAlignment="1">
      <alignment/>
    </xf>
    <xf numFmtId="3" fontId="35" fillId="0" borderId="102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wrapText="1"/>
    </xf>
    <xf numFmtId="0" fontId="67" fillId="0" borderId="64" xfId="0" applyFont="1" applyBorder="1" applyAlignment="1">
      <alignment/>
    </xf>
    <xf numFmtId="0" fontId="67" fillId="0" borderId="0" xfId="0" applyFont="1" applyAlignment="1">
      <alignment/>
    </xf>
    <xf numFmtId="0" fontId="67" fillId="0" borderId="25" xfId="0" applyFont="1" applyBorder="1" applyAlignment="1">
      <alignment/>
    </xf>
    <xf numFmtId="0" fontId="67" fillId="0" borderId="61" xfId="0" applyFont="1" applyBorder="1" applyAlignment="1">
      <alignment/>
    </xf>
    <xf numFmtId="3" fontId="68" fillId="0" borderId="16" xfId="0" applyNumberFormat="1" applyFont="1" applyBorder="1" applyAlignment="1">
      <alignment horizontal="center" wrapText="1"/>
    </xf>
    <xf numFmtId="3" fontId="68" fillId="0" borderId="16" xfId="0" applyNumberFormat="1" applyFont="1" applyBorder="1" applyAlignment="1">
      <alignment horizontal="center" vertical="center" wrapText="1"/>
    </xf>
    <xf numFmtId="3" fontId="68" fillId="0" borderId="28" xfId="0" applyNumberFormat="1" applyFont="1" applyBorder="1" applyAlignment="1">
      <alignment horizontal="center" vertical="center" wrapText="1"/>
    </xf>
    <xf numFmtId="3" fontId="68" fillId="0" borderId="15" xfId="0" applyNumberFormat="1" applyFont="1" applyBorder="1" applyAlignment="1">
      <alignment horizontal="center" wrapText="1"/>
    </xf>
    <xf numFmtId="0" fontId="68" fillId="0" borderId="64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5" xfId="0" applyFont="1" applyBorder="1" applyAlignment="1">
      <alignment wrapText="1"/>
    </xf>
    <xf numFmtId="3" fontId="68" fillId="0" borderId="16" xfId="0" applyNumberFormat="1" applyFont="1" applyBorder="1" applyAlignment="1">
      <alignment wrapText="1"/>
    </xf>
    <xf numFmtId="3" fontId="68" fillId="0" borderId="28" xfId="0" applyNumberFormat="1" applyFont="1" applyBorder="1" applyAlignment="1">
      <alignment wrapText="1"/>
    </xf>
    <xf numFmtId="3" fontId="68" fillId="0" borderId="15" xfId="0" applyNumberFormat="1" applyFont="1" applyBorder="1" applyAlignment="1">
      <alignment/>
    </xf>
    <xf numFmtId="3" fontId="68" fillId="0" borderId="28" xfId="0" applyNumberFormat="1" applyFont="1" applyBorder="1" applyAlignment="1">
      <alignment/>
    </xf>
    <xf numFmtId="3" fontId="68" fillId="0" borderId="20" xfId="0" applyNumberFormat="1" applyFont="1" applyBorder="1" applyAlignment="1">
      <alignment/>
    </xf>
    <xf numFmtId="0" fontId="68" fillId="0" borderId="0" xfId="0" applyFont="1" applyAlignment="1">
      <alignment/>
    </xf>
    <xf numFmtId="37" fontId="68" fillId="0" borderId="16" xfId="0" applyNumberFormat="1" applyFont="1" applyBorder="1" applyAlignment="1">
      <alignment wrapText="1"/>
    </xf>
    <xf numFmtId="0" fontId="68" fillId="0" borderId="15" xfId="0" applyFont="1" applyBorder="1" applyAlignment="1">
      <alignment wrapText="1"/>
    </xf>
    <xf numFmtId="37" fontId="68" fillId="0" borderId="28" xfId="0" applyNumberFormat="1" applyFont="1" applyBorder="1" applyAlignment="1">
      <alignment wrapText="1"/>
    </xf>
    <xf numFmtId="0" fontId="67" fillId="0" borderId="15" xfId="0" applyFont="1" applyBorder="1" applyAlignment="1">
      <alignment horizontal="left" wrapText="1"/>
    </xf>
    <xf numFmtId="3" fontId="67" fillId="0" borderId="16" xfId="0" applyNumberFormat="1" applyFont="1" applyBorder="1" applyAlignment="1">
      <alignment wrapText="1"/>
    </xf>
    <xf numFmtId="3" fontId="67" fillId="0" borderId="28" xfId="0" applyNumberFormat="1" applyFont="1" applyBorder="1" applyAlignment="1">
      <alignment wrapText="1"/>
    </xf>
    <xf numFmtId="0" fontId="67" fillId="0" borderId="15" xfId="0" applyFont="1" applyBorder="1" applyAlignment="1">
      <alignment wrapText="1"/>
    </xf>
    <xf numFmtId="3" fontId="67" fillId="0" borderId="16" xfId="0" applyNumberFormat="1" applyFont="1" applyBorder="1" applyAlignment="1">
      <alignment wrapText="1"/>
    </xf>
    <xf numFmtId="3" fontId="67" fillId="0" borderId="28" xfId="0" applyNumberFormat="1" applyFont="1" applyBorder="1" applyAlignment="1">
      <alignment wrapText="1"/>
    </xf>
    <xf numFmtId="0" fontId="70" fillId="0" borderId="64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15" xfId="0" applyFont="1" applyBorder="1" applyAlignment="1">
      <alignment wrapText="1"/>
    </xf>
    <xf numFmtId="3" fontId="71" fillId="0" borderId="16" xfId="0" applyNumberFormat="1" applyFont="1" applyBorder="1" applyAlignment="1">
      <alignment wrapText="1"/>
    </xf>
    <xf numFmtId="3" fontId="71" fillId="0" borderId="28" xfId="0" applyNumberFormat="1" applyFont="1" applyBorder="1" applyAlignment="1">
      <alignment wrapText="1"/>
    </xf>
    <xf numFmtId="0" fontId="70" fillId="0" borderId="0" xfId="0" applyFont="1" applyAlignment="1">
      <alignment/>
    </xf>
    <xf numFmtId="0" fontId="68" fillId="0" borderId="58" xfId="0" applyFont="1" applyBorder="1" applyAlignment="1">
      <alignment/>
    </xf>
    <xf numFmtId="0" fontId="68" fillId="0" borderId="62" xfId="0" applyFont="1" applyBorder="1" applyAlignment="1">
      <alignment/>
    </xf>
    <xf numFmtId="3" fontId="68" fillId="0" borderId="16" xfId="0" applyNumberFormat="1" applyFont="1" applyBorder="1" applyAlignment="1">
      <alignment wrapText="1"/>
    </xf>
    <xf numFmtId="3" fontId="68" fillId="0" borderId="28" xfId="0" applyNumberFormat="1" applyFont="1" applyBorder="1" applyAlignment="1">
      <alignment wrapText="1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3" fontId="67" fillId="0" borderId="16" xfId="0" applyNumberFormat="1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28" xfId="0" applyFont="1" applyBorder="1" applyAlignment="1">
      <alignment/>
    </xf>
    <xf numFmtId="3" fontId="68" fillId="0" borderId="16" xfId="0" applyNumberFormat="1" applyFont="1" applyBorder="1" applyAlignment="1">
      <alignment/>
    </xf>
    <xf numFmtId="3" fontId="68" fillId="0" borderId="28" xfId="0" applyNumberFormat="1" applyFont="1" applyBorder="1" applyAlignment="1">
      <alignment/>
    </xf>
    <xf numFmtId="0" fontId="68" fillId="0" borderId="17" xfId="0" applyFont="1" applyBorder="1" applyAlignment="1">
      <alignment wrapText="1"/>
    </xf>
    <xf numFmtId="3" fontId="68" fillId="0" borderId="18" xfId="0" applyNumberFormat="1" applyFont="1" applyBorder="1" applyAlignment="1">
      <alignment/>
    </xf>
    <xf numFmtId="3" fontId="68" fillId="0" borderId="30" xfId="0" applyNumberFormat="1" applyFont="1" applyBorder="1" applyAlignment="1">
      <alignment/>
    </xf>
    <xf numFmtId="3" fontId="68" fillId="0" borderId="17" xfId="0" applyNumberFormat="1" applyFont="1" applyBorder="1" applyAlignment="1">
      <alignment/>
    </xf>
    <xf numFmtId="3" fontId="68" fillId="0" borderId="30" xfId="0" applyNumberFormat="1" applyFont="1" applyBorder="1" applyAlignment="1">
      <alignment/>
    </xf>
    <xf numFmtId="3" fontId="68" fillId="0" borderId="22" xfId="0" applyNumberFormat="1" applyFont="1" applyBorder="1" applyAlignment="1">
      <alignment/>
    </xf>
    <xf numFmtId="0" fontId="67" fillId="0" borderId="0" xfId="0" applyFont="1" applyBorder="1" applyAlignment="1">
      <alignment wrapText="1"/>
    </xf>
    <xf numFmtId="0" fontId="67" fillId="0" borderId="0" xfId="0" applyFont="1" applyAlignment="1">
      <alignment wrapText="1"/>
    </xf>
    <xf numFmtId="0" fontId="68" fillId="0" borderId="20" xfId="0" applyFont="1" applyBorder="1" applyAlignment="1">
      <alignment horizontal="center"/>
    </xf>
    <xf numFmtId="3" fontId="30" fillId="0" borderId="20" xfId="99" applyNumberFormat="1" applyFont="1" applyBorder="1" applyAlignment="1">
      <alignment horizontal="right"/>
      <protection/>
    </xf>
    <xf numFmtId="3" fontId="30" fillId="0" borderId="22" xfId="99" applyNumberFormat="1" applyFont="1" applyBorder="1" applyAlignment="1">
      <alignment horizontal="right"/>
      <protection/>
    </xf>
    <xf numFmtId="0" fontId="32" fillId="0" borderId="132" xfId="0" applyFont="1" applyFill="1" applyBorder="1" applyAlignment="1">
      <alignment horizontal="center" vertical="center" wrapText="1"/>
    </xf>
    <xf numFmtId="0" fontId="32" fillId="0" borderId="133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 wrapText="1"/>
    </xf>
    <xf numFmtId="0" fontId="32" fillId="0" borderId="135" xfId="0" applyFont="1" applyFill="1" applyBorder="1" applyAlignment="1">
      <alignment horizontal="center" vertical="center" wrapText="1"/>
    </xf>
    <xf numFmtId="0" fontId="31" fillId="0" borderId="115" xfId="0" applyFont="1" applyFill="1" applyBorder="1" applyAlignment="1">
      <alignment horizontal="left" vertical="center" wrapText="1"/>
    </xf>
    <xf numFmtId="0" fontId="31" fillId="0" borderId="89" xfId="0" applyFont="1" applyFill="1" applyBorder="1" applyAlignment="1">
      <alignment vertical="center" wrapText="1"/>
    </xf>
    <xf numFmtId="3" fontId="31" fillId="0" borderId="89" xfId="0" applyNumberFormat="1" applyFont="1" applyFill="1" applyBorder="1" applyAlignment="1">
      <alignment vertical="center"/>
    </xf>
    <xf numFmtId="3" fontId="32" fillId="0" borderId="89" xfId="0" applyNumberFormat="1" applyFont="1" applyFill="1" applyBorder="1" applyAlignment="1">
      <alignment vertical="center"/>
    </xf>
    <xf numFmtId="0" fontId="31" fillId="0" borderId="89" xfId="0" applyFont="1" applyFill="1" applyBorder="1" applyAlignment="1">
      <alignment horizontal="left" vertical="center" wrapText="1"/>
    </xf>
    <xf numFmtId="3" fontId="31" fillId="0" borderId="136" xfId="0" applyNumberFormat="1" applyFont="1" applyFill="1" applyBorder="1" applyAlignment="1">
      <alignment vertical="center"/>
    </xf>
    <xf numFmtId="3" fontId="31" fillId="0" borderId="115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2" fillId="0" borderId="89" xfId="0" applyFont="1" applyFill="1" applyBorder="1" applyAlignment="1">
      <alignment vertical="center" wrapText="1"/>
    </xf>
    <xf numFmtId="3" fontId="32" fillId="0" borderId="136" xfId="0" applyNumberFormat="1" applyFont="1" applyFill="1" applyBorder="1" applyAlignment="1">
      <alignment vertical="center"/>
    </xf>
    <xf numFmtId="0" fontId="31" fillId="0" borderId="98" xfId="0" applyFont="1" applyFill="1" applyBorder="1" applyAlignment="1">
      <alignment horizontal="left" vertical="center" wrapText="1"/>
    </xf>
    <xf numFmtId="3" fontId="32" fillId="0" borderId="115" xfId="0" applyNumberFormat="1" applyFont="1" applyFill="1" applyBorder="1" applyAlignment="1">
      <alignment vertical="center"/>
    </xf>
    <xf numFmtId="0" fontId="31" fillId="0" borderId="137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138" xfId="0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31" fillId="0" borderId="115" xfId="0" applyNumberFormat="1" applyFont="1" applyFill="1" applyBorder="1" applyAlignment="1">
      <alignment/>
    </xf>
    <xf numFmtId="3" fontId="31" fillId="0" borderId="136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137" xfId="0" applyNumberFormat="1" applyFont="1" applyFill="1" applyBorder="1" applyAlignment="1">
      <alignment/>
    </xf>
    <xf numFmtId="3" fontId="31" fillId="0" borderId="139" xfId="0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3" fontId="47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0" fontId="72" fillId="0" borderId="13" xfId="0" applyFont="1" applyBorder="1" applyAlignment="1">
      <alignment/>
    </xf>
    <xf numFmtId="49" fontId="72" fillId="0" borderId="14" xfId="0" applyNumberFormat="1" applyFont="1" applyBorder="1" applyAlignment="1">
      <alignment horizontal="center"/>
    </xf>
    <xf numFmtId="0" fontId="72" fillId="0" borderId="14" xfId="0" applyFont="1" applyBorder="1" applyAlignment="1">
      <alignment/>
    </xf>
    <xf numFmtId="0" fontId="72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/>
    </xf>
    <xf numFmtId="3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4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5" xfId="0" applyFont="1" applyBorder="1" applyAlignment="1">
      <alignment/>
    </xf>
    <xf numFmtId="49" fontId="72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/>
    </xf>
    <xf numFmtId="3" fontId="47" fillId="0" borderId="16" xfId="0" applyNumberFormat="1" applyFont="1" applyBorder="1" applyAlignment="1">
      <alignment/>
    </xf>
    <xf numFmtId="3" fontId="72" fillId="0" borderId="16" xfId="0" applyNumberFormat="1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20" xfId="0" applyFont="1" applyBorder="1" applyAlignment="1">
      <alignment/>
    </xf>
    <xf numFmtId="0" fontId="72" fillId="0" borderId="25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3" fontId="72" fillId="0" borderId="16" xfId="0" applyNumberFormat="1" applyFont="1" applyBorder="1" applyAlignment="1">
      <alignment horizontal="right"/>
    </xf>
    <xf numFmtId="0" fontId="72" fillId="0" borderId="16" xfId="0" applyFont="1" applyBorder="1" applyAlignment="1">
      <alignment wrapText="1"/>
    </xf>
    <xf numFmtId="0" fontId="72" fillId="0" borderId="16" xfId="0" applyFont="1" applyBorder="1" applyAlignment="1">
      <alignment horizontal="right"/>
    </xf>
    <xf numFmtId="49" fontId="72" fillId="0" borderId="16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3" fontId="72" fillId="0" borderId="20" xfId="0" applyNumberFormat="1" applyFont="1" applyBorder="1" applyAlignment="1">
      <alignment/>
    </xf>
    <xf numFmtId="0" fontId="47" fillId="0" borderId="16" xfId="0" applyFont="1" applyBorder="1" applyAlignment="1">
      <alignment horizontal="left"/>
    </xf>
    <xf numFmtId="3" fontId="47" fillId="0" borderId="16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0" fontId="72" fillId="0" borderId="64" xfId="0" applyFont="1" applyBorder="1" applyAlignment="1">
      <alignment/>
    </xf>
    <xf numFmtId="0" fontId="72" fillId="0" borderId="38" xfId="0" applyFont="1" applyBorder="1" applyAlignment="1">
      <alignment horizontal="right"/>
    </xf>
    <xf numFmtId="3" fontId="47" fillId="0" borderId="38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72" fillId="0" borderId="16" xfId="0" applyNumberFormat="1" applyFont="1" applyBorder="1" applyAlignment="1">
      <alignment horizontal="left" wrapText="1"/>
    </xf>
    <xf numFmtId="3" fontId="47" fillId="0" borderId="16" xfId="0" applyNumberFormat="1" applyFont="1" applyBorder="1" applyAlignment="1">
      <alignment horizontal="left" wrapText="1"/>
    </xf>
    <xf numFmtId="3" fontId="72" fillId="0" borderId="140" xfId="0" applyNumberFormat="1" applyFont="1" applyBorder="1" applyAlignment="1">
      <alignment horizontal="left" wrapText="1"/>
    </xf>
    <xf numFmtId="0" fontId="72" fillId="0" borderId="17" xfId="0" applyFont="1" applyBorder="1" applyAlignment="1">
      <alignment/>
    </xf>
    <xf numFmtId="0" fontId="72" fillId="0" borderId="18" xfId="0" applyFont="1" applyBorder="1" applyAlignment="1">
      <alignment/>
    </xf>
    <xf numFmtId="3" fontId="72" fillId="0" borderId="18" xfId="0" applyNumberFormat="1" applyFont="1" applyBorder="1" applyAlignment="1">
      <alignment horizontal="left" wrapText="1"/>
    </xf>
    <xf numFmtId="3" fontId="72" fillId="0" borderId="0" xfId="0" applyNumberFormat="1" applyFont="1" applyAlignment="1">
      <alignment/>
    </xf>
    <xf numFmtId="0" fontId="31" fillId="0" borderId="0" xfId="98" applyFont="1" applyFill="1">
      <alignment/>
      <protection/>
    </xf>
    <xf numFmtId="0" fontId="31" fillId="0" borderId="0" xfId="98" applyFont="1" applyFill="1" applyAlignment="1">
      <alignment horizontal="center"/>
      <protection/>
    </xf>
    <xf numFmtId="3" fontId="31" fillId="0" borderId="0" xfId="98" applyNumberFormat="1" applyFont="1" applyFill="1">
      <alignment/>
      <protection/>
    </xf>
    <xf numFmtId="0" fontId="73" fillId="0" borderId="0" xfId="103" applyFont="1">
      <alignment/>
      <protection/>
    </xf>
    <xf numFmtId="0" fontId="32" fillId="0" borderId="0" xfId="98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 horizontal="center"/>
      <protection/>
    </xf>
    <xf numFmtId="0" fontId="31" fillId="0" borderId="0" xfId="98" applyFont="1" applyFill="1" applyAlignment="1">
      <alignment horizontal="right"/>
      <protection/>
    </xf>
    <xf numFmtId="3" fontId="32" fillId="0" borderId="0" xfId="98" applyNumberFormat="1" applyFont="1" applyFill="1" applyAlignment="1">
      <alignment horizontal="right"/>
      <protection/>
    </xf>
    <xf numFmtId="0" fontId="31" fillId="0" borderId="132" xfId="119" applyFont="1" applyBorder="1" applyAlignment="1">
      <alignment horizontal="left"/>
      <protection/>
    </xf>
    <xf numFmtId="3" fontId="32" fillId="0" borderId="132" xfId="119" applyNumberFormat="1" applyFont="1" applyBorder="1">
      <alignment/>
      <protection/>
    </xf>
    <xf numFmtId="3" fontId="31" fillId="0" borderId="132" xfId="119" applyNumberFormat="1" applyFont="1" applyBorder="1">
      <alignment/>
      <protection/>
    </xf>
    <xf numFmtId="0" fontId="31" fillId="0" borderId="141" xfId="119" applyFont="1" applyBorder="1">
      <alignment/>
      <protection/>
    </xf>
    <xf numFmtId="0" fontId="31" fillId="0" borderId="142" xfId="119" applyFont="1" applyBorder="1">
      <alignment/>
      <protection/>
    </xf>
    <xf numFmtId="49" fontId="31" fillId="0" borderId="89" xfId="119" applyNumberFormat="1" applyFont="1" applyBorder="1" applyAlignment="1">
      <alignment horizontal="center"/>
      <protection/>
    </xf>
    <xf numFmtId="0" fontId="31" fillId="0" borderId="89" xfId="119" applyFont="1" applyBorder="1" applyAlignment="1">
      <alignment/>
      <protection/>
    </xf>
    <xf numFmtId="0" fontId="31" fillId="0" borderId="89" xfId="119" applyFont="1" applyBorder="1" applyAlignment="1">
      <alignment horizontal="left"/>
      <protection/>
    </xf>
    <xf numFmtId="3" fontId="32" fillId="0" borderId="89" xfId="119" applyNumberFormat="1" applyFont="1" applyBorder="1">
      <alignment/>
      <protection/>
    </xf>
    <xf numFmtId="3" fontId="31" fillId="0" borderId="89" xfId="119" applyNumberFormat="1" applyFont="1" applyBorder="1" applyAlignment="1">
      <alignment horizontal="right"/>
      <protection/>
    </xf>
    <xf numFmtId="0" fontId="31" fillId="0" borderId="136" xfId="119" applyFont="1" applyBorder="1">
      <alignment/>
      <protection/>
    </xf>
    <xf numFmtId="3" fontId="21" fillId="0" borderId="89" xfId="0" applyNumberFormat="1" applyFont="1" applyBorder="1" applyAlignment="1">
      <alignment horizontal="left" wrapText="1"/>
    </xf>
    <xf numFmtId="3" fontId="31" fillId="0" borderId="136" xfId="119" applyNumberFormat="1" applyFont="1" applyBorder="1">
      <alignment/>
      <protection/>
    </xf>
    <xf numFmtId="3" fontId="31" fillId="0" borderId="89" xfId="119" applyNumberFormat="1" applyFont="1" applyBorder="1">
      <alignment/>
      <protection/>
    </xf>
    <xf numFmtId="0" fontId="31" fillId="0" borderId="90" xfId="119" applyFont="1" applyBorder="1" applyAlignment="1">
      <alignment/>
      <protection/>
    </xf>
    <xf numFmtId="3" fontId="32" fillId="0" borderId="115" xfId="119" applyNumberFormat="1" applyFont="1" applyBorder="1">
      <alignment/>
      <protection/>
    </xf>
    <xf numFmtId="49" fontId="31" fillId="0" borderId="115" xfId="119" applyNumberFormat="1" applyFont="1" applyBorder="1" applyAlignment="1">
      <alignment horizontal="center"/>
      <protection/>
    </xf>
    <xf numFmtId="0" fontId="31" fillId="0" borderId="117" xfId="119" applyFont="1" applyBorder="1" applyAlignment="1">
      <alignment/>
      <protection/>
    </xf>
    <xf numFmtId="0" fontId="32" fillId="0" borderId="142" xfId="119" applyFont="1" applyBorder="1" applyAlignment="1">
      <alignment horizontal="left" vertical="center"/>
      <protection/>
    </xf>
    <xf numFmtId="0" fontId="31" fillId="0" borderId="112" xfId="119" applyFont="1" applyBorder="1" applyAlignment="1">
      <alignment horizontal="left"/>
      <protection/>
    </xf>
    <xf numFmtId="3" fontId="32" fillId="0" borderId="136" xfId="119" applyNumberFormat="1" applyFont="1" applyBorder="1">
      <alignment/>
      <protection/>
    </xf>
    <xf numFmtId="0" fontId="32" fillId="0" borderId="89" xfId="119" applyFont="1" applyBorder="1" applyAlignment="1">
      <alignment horizontal="left" vertical="center"/>
      <protection/>
    </xf>
    <xf numFmtId="0" fontId="31" fillId="0" borderId="115" xfId="119" applyFont="1" applyBorder="1" applyAlignment="1">
      <alignment/>
      <protection/>
    </xf>
    <xf numFmtId="0" fontId="31" fillId="0" borderId="89" xfId="119" applyFont="1" applyBorder="1" applyAlignment="1">
      <alignment horizontal="right"/>
      <protection/>
    </xf>
    <xf numFmtId="0" fontId="32" fillId="0" borderId="89" xfId="119" applyFont="1" applyBorder="1" applyAlignment="1">
      <alignment horizontal="left"/>
      <protection/>
    </xf>
    <xf numFmtId="3" fontId="35" fillId="0" borderId="89" xfId="0" applyNumberFormat="1" applyFont="1" applyBorder="1" applyAlignment="1">
      <alignment horizontal="left" wrapText="1"/>
    </xf>
    <xf numFmtId="3" fontId="32" fillId="0" borderId="89" xfId="119" applyNumberFormat="1" applyFont="1" applyBorder="1" applyAlignment="1">
      <alignment/>
      <protection/>
    </xf>
    <xf numFmtId="3" fontId="32" fillId="0" borderId="136" xfId="119" applyNumberFormat="1" applyFont="1" applyBorder="1" applyAlignment="1">
      <alignment/>
      <protection/>
    </xf>
    <xf numFmtId="0" fontId="32" fillId="0" borderId="115" xfId="119" applyFont="1" applyBorder="1" applyAlignment="1">
      <alignment horizontal="left"/>
      <protection/>
    </xf>
    <xf numFmtId="0" fontId="31" fillId="0" borderId="143" xfId="119" applyFont="1" applyBorder="1">
      <alignment/>
      <protection/>
    </xf>
    <xf numFmtId="0" fontId="32" fillId="0" borderId="98" xfId="119" applyFont="1" applyBorder="1" applyAlignment="1">
      <alignment horizontal="left"/>
      <protection/>
    </xf>
    <xf numFmtId="0" fontId="31" fillId="0" borderId="98" xfId="119" applyFont="1" applyBorder="1" applyAlignment="1">
      <alignment horizontal="right"/>
      <protection/>
    </xf>
    <xf numFmtId="0" fontId="31" fillId="0" borderId="98" xfId="119" applyFont="1" applyBorder="1">
      <alignment/>
      <protection/>
    </xf>
    <xf numFmtId="3" fontId="35" fillId="0" borderId="98" xfId="0" applyNumberFormat="1" applyFont="1" applyBorder="1" applyAlignment="1">
      <alignment horizontal="left" wrapText="1"/>
    </xf>
    <xf numFmtId="3" fontId="32" fillId="0" borderId="98" xfId="119" applyNumberFormat="1" applyFont="1" applyBorder="1" applyAlignment="1">
      <alignment/>
      <protection/>
    </xf>
    <xf numFmtId="3" fontId="32" fillId="0" borderId="144" xfId="119" applyNumberFormat="1" applyFont="1" applyBorder="1" applyAlignment="1">
      <alignment/>
      <protection/>
    </xf>
    <xf numFmtId="0" fontId="31" fillId="0" borderId="145" xfId="119" applyFont="1" applyBorder="1">
      <alignment/>
      <protection/>
    </xf>
    <xf numFmtId="0" fontId="31" fillId="0" borderId="137" xfId="119" applyFont="1" applyBorder="1" applyAlignment="1">
      <alignment horizontal="right"/>
      <protection/>
    </xf>
    <xf numFmtId="0" fontId="31" fillId="0" borderId="137" xfId="119" applyFont="1" applyBorder="1">
      <alignment/>
      <protection/>
    </xf>
    <xf numFmtId="3" fontId="35" fillId="0" borderId="137" xfId="0" applyNumberFormat="1" applyFont="1" applyBorder="1" applyAlignment="1">
      <alignment horizontal="left" wrapText="1"/>
    </xf>
    <xf numFmtId="3" fontId="32" fillId="0" borderId="137" xfId="119" applyNumberFormat="1" applyFont="1" applyBorder="1" applyAlignment="1">
      <alignment/>
      <protection/>
    </xf>
    <xf numFmtId="3" fontId="32" fillId="0" borderId="139" xfId="119" applyNumberFormat="1" applyFont="1" applyBorder="1" applyAlignment="1">
      <alignment/>
      <protection/>
    </xf>
    <xf numFmtId="3" fontId="30" fillId="0" borderId="20" xfId="101" applyNumberFormat="1" applyFont="1" applyBorder="1" applyAlignment="1">
      <alignment horizontal="right" vertical="center"/>
      <protection/>
    </xf>
    <xf numFmtId="3" fontId="28" fillId="0" borderId="20" xfId="101" applyNumberFormat="1" applyFont="1" applyBorder="1" applyAlignment="1">
      <alignment horizontal="right" vertical="center"/>
      <protection/>
    </xf>
    <xf numFmtId="3" fontId="30" fillId="0" borderId="22" xfId="101" applyNumberFormat="1" applyFont="1" applyBorder="1" applyAlignment="1">
      <alignment horizontal="right" vertical="center"/>
      <protection/>
    </xf>
    <xf numFmtId="0" fontId="30" fillId="0" borderId="13" xfId="101" applyFont="1" applyBorder="1" applyAlignment="1">
      <alignment wrapText="1"/>
      <protection/>
    </xf>
    <xf numFmtId="0" fontId="30" fillId="0" borderId="14" xfId="101" applyFont="1" applyBorder="1" applyAlignment="1">
      <alignment horizontal="center" wrapText="1"/>
      <protection/>
    </xf>
    <xf numFmtId="0" fontId="30" fillId="0" borderId="14" xfId="101" applyFont="1" applyBorder="1" applyAlignment="1">
      <alignment wrapText="1"/>
      <protection/>
    </xf>
    <xf numFmtId="0" fontId="30" fillId="0" borderId="40" xfId="101" applyFont="1" applyBorder="1" applyAlignment="1">
      <alignment horizontal="center" wrapText="1"/>
      <protection/>
    </xf>
    <xf numFmtId="3" fontId="30" fillId="0" borderId="22" xfId="101" applyNumberFormat="1" applyFont="1" applyBorder="1">
      <alignment/>
      <protection/>
    </xf>
    <xf numFmtId="3" fontId="68" fillId="0" borderId="20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39" fillId="0" borderId="24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9" fontId="20" fillId="0" borderId="15" xfId="0" applyNumberFormat="1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left" wrapText="1"/>
    </xf>
    <xf numFmtId="0" fontId="20" fillId="0" borderId="15" xfId="0" applyFont="1" applyBorder="1" applyAlignment="1">
      <alignment/>
    </xf>
    <xf numFmtId="0" fontId="0" fillId="0" borderId="16" xfId="0" applyBorder="1" applyAlignment="1">
      <alignment/>
    </xf>
    <xf numFmtId="49" fontId="20" fillId="0" borderId="24" xfId="0" applyNumberFormat="1" applyFont="1" applyBorder="1" applyAlignment="1">
      <alignment horizontal="left" wrapText="1"/>
    </xf>
    <xf numFmtId="49" fontId="20" fillId="0" borderId="23" xfId="0" applyNumberFormat="1" applyFont="1" applyBorder="1" applyAlignment="1">
      <alignment horizontal="left" wrapText="1"/>
    </xf>
    <xf numFmtId="0" fontId="38" fillId="0" borderId="0" xfId="104" applyFont="1" applyBorder="1" applyAlignment="1">
      <alignment horizontal="center"/>
      <protection/>
    </xf>
    <xf numFmtId="0" fontId="38" fillId="0" borderId="65" xfId="104" applyFont="1" applyBorder="1" applyAlignment="1">
      <alignment horizontal="center"/>
      <protection/>
    </xf>
    <xf numFmtId="0" fontId="38" fillId="0" borderId="63" xfId="104" applyFont="1" applyBorder="1" applyAlignment="1">
      <alignment horizontal="center"/>
      <protection/>
    </xf>
    <xf numFmtId="0" fontId="38" fillId="0" borderId="68" xfId="104" applyFont="1" applyBorder="1" applyAlignment="1">
      <alignment horizontal="center"/>
      <protection/>
    </xf>
    <xf numFmtId="0" fontId="38" fillId="0" borderId="146" xfId="104" applyFont="1" applyBorder="1" applyAlignment="1">
      <alignment horizontal="center"/>
      <protection/>
    </xf>
    <xf numFmtId="0" fontId="38" fillId="0" borderId="147" xfId="104" applyFont="1" applyBorder="1" applyAlignment="1">
      <alignment horizontal="center"/>
      <protection/>
    </xf>
    <xf numFmtId="0" fontId="32" fillId="0" borderId="31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center" shrinkToFit="1"/>
    </xf>
    <xf numFmtId="0" fontId="28" fillId="0" borderId="1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wrapText="1"/>
    </xf>
    <xf numFmtId="0" fontId="47" fillId="0" borderId="4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/>
    </xf>
    <xf numFmtId="0" fontId="47" fillId="0" borderId="31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14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32" fillId="0" borderId="148" xfId="119" applyFont="1" applyBorder="1" applyAlignment="1">
      <alignment horizontal="center" vertical="center" wrapText="1"/>
      <protection/>
    </xf>
    <xf numFmtId="0" fontId="32" fillId="0" borderId="149" xfId="119" applyFont="1" applyBorder="1" applyAlignment="1">
      <alignment horizontal="center" vertical="center" wrapText="1"/>
      <protection/>
    </xf>
    <xf numFmtId="0" fontId="32" fillId="0" borderId="0" xfId="98" applyFont="1" applyFill="1" applyBorder="1" applyAlignment="1">
      <alignment/>
      <protection/>
    </xf>
    <xf numFmtId="0" fontId="32" fillId="0" borderId="0" xfId="98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 horizontal="center"/>
      <protection/>
    </xf>
    <xf numFmtId="0" fontId="32" fillId="0" borderId="150" xfId="119" applyFont="1" applyBorder="1" applyAlignment="1">
      <alignment horizontal="center" vertical="center"/>
      <protection/>
    </xf>
    <xf numFmtId="0" fontId="32" fillId="0" borderId="151" xfId="119" applyFont="1" applyBorder="1" applyAlignment="1">
      <alignment horizontal="center" vertical="center"/>
      <protection/>
    </xf>
    <xf numFmtId="0" fontId="32" fillId="0" borderId="85" xfId="119" applyFont="1" applyBorder="1" applyAlignment="1">
      <alignment horizontal="center"/>
      <protection/>
    </xf>
    <xf numFmtId="0" fontId="32" fillId="0" borderId="93" xfId="119" applyFont="1" applyBorder="1" applyAlignment="1">
      <alignment horizontal="center" vertical="center" wrapText="1"/>
      <protection/>
    </xf>
    <xf numFmtId="0" fontId="32" fillId="0" borderId="98" xfId="119" applyFont="1" applyBorder="1" applyAlignment="1">
      <alignment horizontal="center" vertical="center" wrapText="1"/>
      <protection/>
    </xf>
    <xf numFmtId="0" fontId="32" fillId="0" borderId="93" xfId="119" applyFont="1" applyBorder="1" applyAlignment="1">
      <alignment horizontal="center" vertical="center"/>
      <protection/>
    </xf>
    <xf numFmtId="0" fontId="32" fillId="0" borderId="98" xfId="119" applyFont="1" applyBorder="1" applyAlignment="1">
      <alignment horizontal="center" vertical="center"/>
      <protection/>
    </xf>
    <xf numFmtId="0" fontId="32" fillId="0" borderId="142" xfId="119" applyFont="1" applyBorder="1" applyAlignment="1">
      <alignment horizontal="left" vertical="center"/>
      <protection/>
    </xf>
    <xf numFmtId="0" fontId="32" fillId="0" borderId="88" xfId="119" applyFont="1" applyBorder="1" applyAlignment="1">
      <alignment horizontal="left" vertical="center"/>
      <protection/>
    </xf>
    <xf numFmtId="3" fontId="32" fillId="0" borderId="93" xfId="119" applyNumberFormat="1" applyFont="1" applyBorder="1" applyAlignment="1">
      <alignment horizontal="center" vertical="center" wrapText="1"/>
      <protection/>
    </xf>
    <xf numFmtId="0" fontId="32" fillId="0" borderId="152" xfId="119" applyFont="1" applyBorder="1" applyAlignment="1">
      <alignment horizontal="center" vertical="center"/>
      <protection/>
    </xf>
    <xf numFmtId="0" fontId="32" fillId="0" borderId="153" xfId="119" applyFont="1" applyBorder="1" applyAlignment="1">
      <alignment horizontal="center" vertical="center"/>
      <protection/>
    </xf>
    <xf numFmtId="0" fontId="32" fillId="0" borderId="87" xfId="119" applyFont="1" applyBorder="1" applyAlignment="1">
      <alignment horizontal="center"/>
      <protection/>
    </xf>
    <xf numFmtId="0" fontId="32" fillId="0" borderId="154" xfId="119" applyFont="1" applyBorder="1" applyAlignment="1">
      <alignment horizontal="left" vertical="center"/>
      <protection/>
    </xf>
    <xf numFmtId="0" fontId="32" fillId="0" borderId="155" xfId="119" applyFont="1" applyBorder="1" applyAlignment="1">
      <alignment horizontal="left" vertical="center"/>
      <protection/>
    </xf>
    <xf numFmtId="0" fontId="31" fillId="0" borderId="9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38" xfId="0" applyFont="1" applyFill="1" applyBorder="1" applyAlignment="1">
      <alignment horizontal="center" vertical="center" wrapText="1"/>
    </xf>
    <xf numFmtId="0" fontId="32" fillId="0" borderId="115" xfId="0" applyFont="1" applyFill="1" applyBorder="1" applyAlignment="1">
      <alignment horizontal="center" vertical="center" wrapText="1"/>
    </xf>
    <xf numFmtId="0" fontId="32" fillId="0" borderId="132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3" fontId="31" fillId="0" borderId="89" xfId="0" applyNumberFormat="1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6" xfId="0" applyFont="1" applyFill="1" applyBorder="1" applyAlignment="1">
      <alignment horizontal="center" vertical="center" wrapText="1"/>
    </xf>
    <xf numFmtId="0" fontId="31" fillId="0" borderId="142" xfId="0" applyFont="1" applyFill="1" applyBorder="1" applyAlignment="1">
      <alignment horizontal="center" vertical="center" wrapText="1"/>
    </xf>
    <xf numFmtId="0" fontId="32" fillId="0" borderId="142" xfId="0" applyFont="1" applyFill="1" applyBorder="1" applyAlignment="1">
      <alignment horizontal="center" vertical="center" wrapText="1"/>
    </xf>
    <xf numFmtId="0" fontId="31" fillId="0" borderId="157" xfId="0" applyFont="1" applyFill="1" applyBorder="1" applyAlignment="1">
      <alignment horizontal="center" vertical="center" wrapText="1"/>
    </xf>
    <xf numFmtId="0" fontId="31" fillId="0" borderId="158" xfId="0" applyFont="1" applyFill="1" applyBorder="1" applyAlignment="1">
      <alignment horizontal="left" vertical="center" wrapText="1"/>
    </xf>
    <xf numFmtId="0" fontId="31" fillId="0" borderId="89" xfId="0" applyFont="1" applyFill="1" applyBorder="1" applyAlignment="1">
      <alignment horizontal="left" vertical="center" wrapText="1"/>
    </xf>
    <xf numFmtId="0" fontId="31" fillId="0" borderId="98" xfId="0" applyFont="1" applyFill="1" applyBorder="1" applyAlignment="1">
      <alignment horizontal="center" vertical="center" wrapText="1"/>
    </xf>
    <xf numFmtId="0" fontId="31" fillId="0" borderId="158" xfId="0" applyFont="1" applyFill="1" applyBorder="1" applyAlignment="1">
      <alignment horizontal="center" vertical="center" wrapText="1"/>
    </xf>
    <xf numFmtId="0" fontId="31" fillId="0" borderId="112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left" vertical="center" wrapText="1"/>
    </xf>
    <xf numFmtId="0" fontId="31" fillId="0" borderId="159" xfId="0" applyFont="1" applyFill="1" applyBorder="1" applyAlignment="1">
      <alignment horizontal="center" vertical="center" wrapText="1"/>
    </xf>
    <xf numFmtId="0" fontId="31" fillId="0" borderId="160" xfId="0" applyFont="1" applyFill="1" applyBorder="1" applyAlignment="1">
      <alignment horizontal="center" vertical="center" wrapText="1"/>
    </xf>
    <xf numFmtId="0" fontId="31" fillId="0" borderId="161" xfId="0" applyFont="1" applyFill="1" applyBorder="1" applyAlignment="1">
      <alignment horizontal="center" vertical="center" wrapText="1"/>
    </xf>
    <xf numFmtId="0" fontId="32" fillId="0" borderId="162" xfId="0" applyFont="1" applyFill="1" applyBorder="1" applyAlignment="1">
      <alignment horizontal="center" vertical="center" wrapText="1"/>
    </xf>
    <xf numFmtId="0" fontId="32" fillId="0" borderId="112" xfId="0" applyFont="1" applyFill="1" applyBorder="1" applyAlignment="1">
      <alignment horizontal="center" vertical="center" wrapText="1"/>
    </xf>
    <xf numFmtId="0" fontId="32" fillId="0" borderId="163" xfId="0" applyFont="1" applyFill="1" applyBorder="1" applyAlignment="1">
      <alignment horizontal="center" vertical="center" wrapText="1"/>
    </xf>
    <xf numFmtId="0" fontId="32" fillId="0" borderId="164" xfId="0" applyFont="1" applyFill="1" applyBorder="1" applyAlignment="1">
      <alignment horizontal="center" vertical="center" wrapText="1"/>
    </xf>
    <xf numFmtId="0" fontId="31" fillId="0" borderId="137" xfId="0" applyFont="1" applyFill="1" applyBorder="1" applyAlignment="1">
      <alignment horizontal="left" vertical="center" wrapText="1"/>
    </xf>
    <xf numFmtId="3" fontId="31" fillId="0" borderId="137" xfId="0" applyNumberFormat="1" applyFont="1" applyFill="1" applyBorder="1" applyAlignment="1">
      <alignment vertical="center" wrapText="1"/>
    </xf>
    <xf numFmtId="0" fontId="49" fillId="0" borderId="0" xfId="102" applyFont="1" applyFill="1" applyBorder="1" applyAlignment="1">
      <alignment horizontal="center" vertical="center"/>
      <protection/>
    </xf>
    <xf numFmtId="0" fontId="30" fillId="0" borderId="0" xfId="102" applyFont="1" applyFill="1" applyBorder="1" applyAlignment="1">
      <alignment horizontal="center" vertical="center"/>
      <protection/>
    </xf>
    <xf numFmtId="0" fontId="51" fillId="0" borderId="13" xfId="102" applyFont="1" applyFill="1" applyBorder="1" applyAlignment="1">
      <alignment horizontal="center" vertical="center" wrapText="1"/>
      <protection/>
    </xf>
    <xf numFmtId="0" fontId="51" fillId="0" borderId="14" xfId="102" applyFont="1" applyFill="1" applyBorder="1" applyAlignment="1">
      <alignment horizontal="center" vertical="center" wrapText="1"/>
      <protection/>
    </xf>
    <xf numFmtId="0" fontId="51" fillId="0" borderId="15" xfId="102" applyFont="1" applyFill="1" applyBorder="1" applyAlignment="1">
      <alignment horizontal="center" vertical="center" wrapText="1"/>
      <protection/>
    </xf>
    <xf numFmtId="0" fontId="51" fillId="0" borderId="16" xfId="102" applyFont="1" applyFill="1" applyBorder="1" applyAlignment="1">
      <alignment horizontal="center" vertical="center" wrapText="1"/>
      <protection/>
    </xf>
    <xf numFmtId="0" fontId="51" fillId="0" borderId="40" xfId="102" applyFont="1" applyFill="1" applyBorder="1" applyAlignment="1">
      <alignment horizontal="center" vertical="center" wrapText="1"/>
      <protection/>
    </xf>
    <xf numFmtId="0" fontId="51" fillId="0" borderId="20" xfId="102" applyFont="1" applyFill="1" applyBorder="1" applyAlignment="1">
      <alignment horizontal="center" vertical="center" wrapText="1"/>
      <protection/>
    </xf>
    <xf numFmtId="0" fontId="51" fillId="0" borderId="14" xfId="102" applyFont="1" applyFill="1" applyBorder="1" applyAlignment="1">
      <alignment horizontal="center" vertical="center"/>
      <protection/>
    </xf>
    <xf numFmtId="0" fontId="32" fillId="0" borderId="0" xfId="100" applyFont="1" applyFill="1" applyAlignment="1">
      <alignment horizontal="center" vertical="center"/>
      <protection/>
    </xf>
    <xf numFmtId="0" fontId="32" fillId="0" borderId="0" xfId="100" applyFont="1" applyFill="1" applyAlignment="1">
      <alignment horizontal="center"/>
      <protection/>
    </xf>
    <xf numFmtId="0" fontId="32" fillId="0" borderId="0" xfId="100" applyFont="1" applyFill="1" applyBorder="1" applyAlignment="1">
      <alignment horizontal="center" vertical="center"/>
      <protection/>
    </xf>
    <xf numFmtId="0" fontId="32" fillId="0" borderId="0" xfId="100" applyFont="1" applyFill="1" applyBorder="1" applyAlignment="1">
      <alignment horizontal="center"/>
      <protection/>
    </xf>
    <xf numFmtId="0" fontId="20" fillId="0" borderId="0" xfId="0" applyFont="1" applyAlignment="1">
      <alignment horizontal="center" wrapText="1"/>
    </xf>
    <xf numFmtId="0" fontId="32" fillId="0" borderId="0" xfId="100" applyFont="1" applyBorder="1" applyAlignment="1">
      <alignment horizontal="center" vertical="center" wrapText="1"/>
      <protection/>
    </xf>
    <xf numFmtId="0" fontId="32" fillId="0" borderId="0" xfId="100" applyFont="1" applyBorder="1" applyAlignment="1">
      <alignment horizontal="center"/>
      <protection/>
    </xf>
    <xf numFmtId="0" fontId="32" fillId="0" borderId="0" xfId="100" applyFont="1" applyBorder="1" applyAlignment="1">
      <alignment horizontal="center" vertical="center" wrapText="1"/>
      <protection/>
    </xf>
    <xf numFmtId="0" fontId="32" fillId="0" borderId="0" xfId="100" applyFont="1" applyBorder="1" applyAlignment="1">
      <alignment horizontal="center"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65" xfId="0" applyFont="1" applyBorder="1" applyAlignment="1">
      <alignment horizontal="center" vertical="center" wrapText="1"/>
    </xf>
    <xf numFmtId="0" fontId="30" fillId="0" borderId="166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43" fillId="0" borderId="15" xfId="99" applyFont="1" applyBorder="1" applyAlignment="1">
      <alignment horizontal="left"/>
      <protection/>
    </xf>
    <xf numFmtId="0" fontId="43" fillId="0" borderId="16" xfId="99" applyFont="1" applyBorder="1" applyAlignment="1">
      <alignment horizontal="left"/>
      <protection/>
    </xf>
    <xf numFmtId="0" fontId="29" fillId="0" borderId="0" xfId="99" applyFont="1" applyFill="1" applyBorder="1" applyAlignment="1">
      <alignment horizontal="center" vertical="center"/>
      <protection/>
    </xf>
    <xf numFmtId="0" fontId="30" fillId="0" borderId="0" xfId="99" applyFont="1" applyBorder="1" applyAlignment="1">
      <alignment horizontal="center" vertical="center"/>
      <protection/>
    </xf>
    <xf numFmtId="0" fontId="30" fillId="0" borderId="13" xfId="99" applyFont="1" applyBorder="1" applyAlignment="1">
      <alignment horizontal="center" vertical="center" wrapText="1"/>
      <protection/>
    </xf>
    <xf numFmtId="0" fontId="30" fillId="0" borderId="14" xfId="99" applyFont="1" applyBorder="1" applyAlignment="1">
      <alignment horizontal="center" vertical="center" wrapText="1"/>
      <protection/>
    </xf>
    <xf numFmtId="0" fontId="30" fillId="0" borderId="41" xfId="101" applyFont="1" applyBorder="1" applyAlignment="1">
      <alignment horizontal="center" vertical="center"/>
      <protection/>
    </xf>
    <xf numFmtId="0" fontId="30" fillId="0" borderId="27" xfId="101" applyFont="1" applyBorder="1" applyAlignment="1">
      <alignment horizontal="center" vertical="center"/>
      <protection/>
    </xf>
    <xf numFmtId="0" fontId="30" fillId="0" borderId="71" xfId="101" applyFont="1" applyBorder="1" applyAlignment="1">
      <alignment horizontal="center" vertical="center"/>
      <protection/>
    </xf>
    <xf numFmtId="0" fontId="30" fillId="0" borderId="31" xfId="101" applyFont="1" applyBorder="1" applyAlignment="1">
      <alignment horizontal="center" vertical="center"/>
      <protection/>
    </xf>
    <xf numFmtId="0" fontId="30" fillId="0" borderId="72" xfId="101" applyFont="1" applyBorder="1" applyAlignment="1">
      <alignment horizontal="center" vertical="center"/>
      <protection/>
    </xf>
    <xf numFmtId="0" fontId="30" fillId="0" borderId="14" xfId="101" applyFont="1" applyBorder="1" applyAlignment="1">
      <alignment horizontal="center"/>
      <protection/>
    </xf>
    <xf numFmtId="0" fontId="30" fillId="0" borderId="40" xfId="101" applyFont="1" applyBorder="1" applyAlignment="1">
      <alignment horizontal="center"/>
      <protection/>
    </xf>
    <xf numFmtId="0" fontId="30" fillId="0" borderId="13" xfId="101" applyFont="1" applyBorder="1" applyAlignment="1">
      <alignment horizontal="center"/>
      <protection/>
    </xf>
    <xf numFmtId="0" fontId="30" fillId="0" borderId="0" xfId="101" applyFont="1" applyAlignment="1">
      <alignment horizontal="center"/>
      <protection/>
    </xf>
    <xf numFmtId="0" fontId="30" fillId="0" borderId="167" xfId="101" applyFont="1" applyBorder="1" applyAlignment="1">
      <alignment horizontal="center"/>
      <protection/>
    </xf>
    <xf numFmtId="0" fontId="30" fillId="0" borderId="140" xfId="101" applyFont="1" applyBorder="1" applyAlignment="1">
      <alignment horizontal="center"/>
      <protection/>
    </xf>
    <xf numFmtId="0" fontId="30" fillId="0" borderId="168" xfId="101" applyFont="1" applyBorder="1" applyAlignment="1">
      <alignment horizontal="center"/>
      <protection/>
    </xf>
    <xf numFmtId="0" fontId="48" fillId="0" borderId="0" xfId="107" applyFont="1" applyAlignment="1">
      <alignment horizontal="center" vertical="center"/>
      <protection/>
    </xf>
    <xf numFmtId="0" fontId="45" fillId="0" borderId="0" xfId="107" applyFont="1" applyAlignment="1">
      <alignment horizontal="center" vertical="center"/>
      <protection/>
    </xf>
    <xf numFmtId="0" fontId="45" fillId="0" borderId="65" xfId="107" applyFont="1" applyBorder="1" applyAlignment="1">
      <alignment horizontal="center" vertical="center"/>
      <protection/>
    </xf>
    <xf numFmtId="0" fontId="45" fillId="0" borderId="63" xfId="107" applyFont="1" applyBorder="1" applyAlignment="1">
      <alignment horizontal="center" vertical="center"/>
      <protection/>
    </xf>
    <xf numFmtId="0" fontId="45" fillId="0" borderId="81" xfId="107" applyFont="1" applyBorder="1" applyAlignment="1">
      <alignment horizontal="center" vertical="center"/>
      <protection/>
    </xf>
    <xf numFmtId="0" fontId="45" fillId="0" borderId="169" xfId="107" applyFont="1" applyBorder="1" applyAlignment="1">
      <alignment horizontal="center" vertical="center" wrapText="1"/>
      <protection/>
    </xf>
    <xf numFmtId="0" fontId="45" fillId="0" borderId="167" xfId="107" applyFont="1" applyBorder="1" applyAlignment="1">
      <alignment horizontal="center" vertical="center" wrapText="1"/>
      <protection/>
    </xf>
    <xf numFmtId="0" fontId="45" fillId="0" borderId="31" xfId="107" applyFont="1" applyBorder="1" applyAlignment="1">
      <alignment horizontal="center" vertical="center" wrapText="1"/>
      <protection/>
    </xf>
    <xf numFmtId="0" fontId="45" fillId="0" borderId="27" xfId="107" applyFont="1" applyBorder="1" applyAlignment="1">
      <alignment horizontal="center" vertical="center" wrapText="1"/>
      <protection/>
    </xf>
    <xf numFmtId="0" fontId="45" fillId="0" borderId="72" xfId="107" applyFont="1" applyBorder="1" applyAlignment="1">
      <alignment horizontal="center" vertical="center" wrapText="1"/>
      <protection/>
    </xf>
    <xf numFmtId="3" fontId="45" fillId="0" borderId="63" xfId="107" applyNumberFormat="1" applyFont="1" applyBorder="1" applyAlignment="1">
      <alignment horizontal="center" vertical="center"/>
      <protection/>
    </xf>
    <xf numFmtId="3" fontId="45" fillId="0" borderId="81" xfId="107" applyNumberFormat="1" applyFont="1" applyBorder="1" applyAlignment="1">
      <alignment horizontal="center" vertical="center"/>
      <protection/>
    </xf>
    <xf numFmtId="3" fontId="45" fillId="0" borderId="74" xfId="107" applyNumberFormat="1" applyFont="1" applyBorder="1" applyAlignment="1">
      <alignment horizontal="center" vertical="center" wrapText="1"/>
      <protection/>
    </xf>
    <xf numFmtId="3" fontId="45" fillId="0" borderId="51" xfId="107" applyNumberFormat="1" applyFont="1" applyBorder="1" applyAlignment="1">
      <alignment horizontal="center" vertical="center" wrapText="1"/>
      <protection/>
    </xf>
    <xf numFmtId="3" fontId="45" fillId="0" borderId="59" xfId="107" applyNumberFormat="1" applyFont="1" applyBorder="1" applyAlignment="1">
      <alignment horizontal="center" vertical="center" wrapText="1"/>
      <protection/>
    </xf>
    <xf numFmtId="3" fontId="45" fillId="0" borderId="71" xfId="107" applyNumberFormat="1" applyFont="1" applyBorder="1" applyAlignment="1">
      <alignment horizontal="center" vertical="center" wrapText="1"/>
      <protection/>
    </xf>
    <xf numFmtId="3" fontId="45" fillId="0" borderId="70" xfId="107" applyNumberFormat="1" applyFont="1" applyBorder="1" applyAlignment="1">
      <alignment horizontal="center" vertical="center" wrapText="1"/>
      <protection/>
    </xf>
    <xf numFmtId="3" fontId="45" fillId="0" borderId="13" xfId="107" applyNumberFormat="1" applyFont="1" applyBorder="1" applyAlignment="1">
      <alignment horizontal="center" vertical="center" wrapText="1"/>
      <protection/>
    </xf>
    <xf numFmtId="3" fontId="45" fillId="0" borderId="43" xfId="107" applyNumberFormat="1" applyFont="1" applyBorder="1" applyAlignment="1">
      <alignment horizontal="center" vertical="center" wrapText="1"/>
      <protection/>
    </xf>
    <xf numFmtId="3" fontId="45" fillId="0" borderId="14" xfId="107" applyNumberFormat="1" applyFont="1" applyBorder="1" applyAlignment="1">
      <alignment horizontal="center" vertical="center" wrapText="1"/>
      <protection/>
    </xf>
    <xf numFmtId="3" fontId="45" fillId="0" borderId="40" xfId="107" applyNumberFormat="1" applyFont="1" applyBorder="1" applyAlignment="1">
      <alignment horizontal="center" vertical="center" wrapText="1"/>
      <protection/>
    </xf>
    <xf numFmtId="3" fontId="46" fillId="0" borderId="0" xfId="107" applyNumberFormat="1" applyFont="1" applyBorder="1" applyAlignment="1">
      <alignment horizontal="center" vertical="center" wrapText="1"/>
      <protection/>
    </xf>
    <xf numFmtId="3" fontId="48" fillId="0" borderId="0" xfId="107" applyNumberFormat="1" applyFont="1" applyBorder="1" applyAlignment="1">
      <alignment horizontal="center" vertical="center"/>
      <protection/>
    </xf>
    <xf numFmtId="3" fontId="45" fillId="0" borderId="17" xfId="107" applyNumberFormat="1" applyFont="1" applyBorder="1" applyAlignment="1">
      <alignment horizontal="center" vertical="center" wrapText="1"/>
      <protection/>
    </xf>
    <xf numFmtId="0" fontId="45" fillId="0" borderId="165" xfId="107" applyFont="1" applyBorder="1" applyAlignment="1">
      <alignment horizontal="center" vertical="center" wrapText="1"/>
      <protection/>
    </xf>
    <xf numFmtId="0" fontId="45" fillId="0" borderId="64" xfId="107" applyFont="1" applyBorder="1" applyAlignment="1">
      <alignment horizontal="center" vertical="center" wrapText="1"/>
      <protection/>
    </xf>
    <xf numFmtId="0" fontId="45" fillId="0" borderId="13" xfId="107" applyFont="1" applyBorder="1" applyAlignment="1">
      <alignment horizontal="center" vertical="center" wrapText="1"/>
      <protection/>
    </xf>
    <xf numFmtId="0" fontId="45" fillId="0" borderId="43" xfId="107" applyFont="1" applyBorder="1" applyAlignment="1">
      <alignment horizontal="center" vertical="center" wrapText="1"/>
      <protection/>
    </xf>
    <xf numFmtId="3" fontId="45" fillId="0" borderId="31" xfId="107" applyNumberFormat="1" applyFont="1" applyBorder="1" applyAlignment="1">
      <alignment horizontal="center" vertical="center" wrapText="1"/>
      <protection/>
    </xf>
    <xf numFmtId="3" fontId="45" fillId="0" borderId="27" xfId="107" applyNumberFormat="1" applyFont="1" applyBorder="1" applyAlignment="1">
      <alignment horizontal="center" vertical="center" wrapText="1"/>
      <protection/>
    </xf>
    <xf numFmtId="3" fontId="45" fillId="0" borderId="72" xfId="107" applyNumberFormat="1" applyFont="1" applyBorder="1" applyAlignment="1">
      <alignment horizontal="center" vertical="center" wrapText="1"/>
      <protection/>
    </xf>
    <xf numFmtId="3" fontId="45" fillId="0" borderId="169" xfId="107" applyNumberFormat="1" applyFont="1" applyBorder="1" applyAlignment="1">
      <alignment horizontal="center" vertical="center" wrapText="1"/>
      <protection/>
    </xf>
    <xf numFmtId="3" fontId="45" fillId="0" borderId="82" xfId="107" applyNumberFormat="1" applyFont="1" applyBorder="1" applyAlignment="1">
      <alignment horizontal="center" vertical="center" wrapText="1"/>
      <protection/>
    </xf>
    <xf numFmtId="3" fontId="45" fillId="0" borderId="65" xfId="107" applyNumberFormat="1" applyFont="1" applyBorder="1" applyAlignment="1">
      <alignment horizontal="center" vertical="center"/>
      <protection/>
    </xf>
    <xf numFmtId="0" fontId="45" fillId="0" borderId="82" xfId="107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21" fillId="0" borderId="170" xfId="0" applyFont="1" applyFill="1" applyBorder="1" applyAlignment="1">
      <alignment horizontal="center" vertical="center" wrapText="1"/>
    </xf>
    <xf numFmtId="49" fontId="35" fillId="0" borderId="171" xfId="0" applyNumberFormat="1" applyFont="1" applyFill="1" applyBorder="1" applyAlignment="1">
      <alignment horizontal="center" vertical="center"/>
    </xf>
    <xf numFmtId="0" fontId="32" fillId="0" borderId="105" xfId="0" applyFont="1" applyFill="1" applyBorder="1" applyAlignment="1">
      <alignment horizontal="center"/>
    </xf>
    <xf numFmtId="0" fontId="32" fillId="0" borderId="172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 wrapText="1"/>
    </xf>
    <xf numFmtId="3" fontId="45" fillId="0" borderId="0" xfId="108" applyNumberFormat="1" applyFont="1" applyBorder="1" applyAlignment="1">
      <alignment horizontal="center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9702KV1_2011 ktv. táblák" xfId="98"/>
    <cellStyle name="Normál_Adósságszolgálat 2012 Brigi" xfId="99"/>
    <cellStyle name="Normál_Beruh.felú-átadott-átvett" xfId="100"/>
    <cellStyle name="Normál_Brigitől kisebbségek_Munkafüzet1" xfId="101"/>
    <cellStyle name="Normál_Intézményi előir.dec. tábla" xfId="102"/>
    <cellStyle name="Normál_Közös Hivatal szakfeladatosa" xfId="103"/>
    <cellStyle name="Normál_KTGVET98" xfId="104"/>
    <cellStyle name="Normál_Kuny Domokos ktgvetés  2013.01.16.-3" xfId="105"/>
    <cellStyle name="Normál_Munkafüzet1" xfId="106"/>
    <cellStyle name="Normál_Munkafüzet1_1" xfId="107"/>
    <cellStyle name="Normál_Munkafüzet3" xfId="108"/>
    <cellStyle name="Normál_Táblák-1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ableStyleLight1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="90" zoomScaleNormal="90" zoomScaleSheetLayoutView="90" workbookViewId="0" topLeftCell="A31">
      <selection activeCell="G29" sqref="G29"/>
    </sheetView>
  </sheetViews>
  <sheetFormatPr defaultColWidth="9.00390625" defaultRowHeight="12.75"/>
  <cols>
    <col min="1" max="1" width="6.125" style="2" customWidth="1"/>
    <col min="2" max="2" width="73.25390625" style="2" customWidth="1"/>
    <col min="3" max="3" width="11.375" style="52" customWidth="1"/>
    <col min="4" max="5" width="12.875" style="52" customWidth="1"/>
    <col min="6" max="6" width="6.125" style="2" customWidth="1"/>
    <col min="7" max="7" width="64.375" style="2" customWidth="1"/>
    <col min="8" max="8" width="11.375" style="52" customWidth="1"/>
    <col min="9" max="9" width="12.00390625" style="2" customWidth="1"/>
    <col min="10" max="10" width="12.875" style="2" customWidth="1"/>
    <col min="11" max="11" width="2.125" style="2" customWidth="1"/>
    <col min="12" max="16384" width="9.125" style="2" customWidth="1"/>
  </cols>
  <sheetData>
    <row r="1" ht="12.75">
      <c r="A1" s="69"/>
    </row>
    <row r="2" spans="1:8" ht="19.5" customHeight="1">
      <c r="A2" s="1124" t="s">
        <v>24</v>
      </c>
      <c r="B2" s="1124"/>
      <c r="C2" s="1124"/>
      <c r="D2" s="1124"/>
      <c r="E2" s="1124"/>
      <c r="F2" s="1124"/>
      <c r="G2" s="1124"/>
      <c r="H2" s="1124"/>
    </row>
    <row r="3" spans="6:7" ht="13.5" thickBot="1">
      <c r="F3" s="52"/>
      <c r="G3" s="52"/>
    </row>
    <row r="4" spans="1:10" ht="13.5" customHeight="1">
      <c r="A4" s="1125" t="s">
        <v>262</v>
      </c>
      <c r="B4" s="1126"/>
      <c r="C4" s="1126"/>
      <c r="D4" s="196"/>
      <c r="E4" s="196"/>
      <c r="F4" s="1127" t="s">
        <v>263</v>
      </c>
      <c r="G4" s="1128"/>
      <c r="H4" s="1128"/>
      <c r="I4" s="454"/>
      <c r="J4" s="209"/>
    </row>
    <row r="5" spans="1:10" ht="14.25" customHeight="1" thickBot="1">
      <c r="A5" s="1131" t="s">
        <v>629</v>
      </c>
      <c r="B5" s="1132"/>
      <c r="C5" s="109" t="s">
        <v>4</v>
      </c>
      <c r="D5" s="109" t="s">
        <v>733</v>
      </c>
      <c r="E5" s="639" t="s">
        <v>799</v>
      </c>
      <c r="F5" s="1131" t="s">
        <v>629</v>
      </c>
      <c r="G5" s="1132"/>
      <c r="H5" s="199" t="s">
        <v>630</v>
      </c>
      <c r="I5" s="455" t="s">
        <v>733</v>
      </c>
      <c r="J5" s="198" t="s">
        <v>799</v>
      </c>
    </row>
    <row r="6" spans="1:10" ht="13.5" customHeight="1">
      <c r="A6" s="113" t="s">
        <v>595</v>
      </c>
      <c r="B6" s="114"/>
      <c r="C6" s="550">
        <f>SUM(C7:C9)</f>
        <v>1107179</v>
      </c>
      <c r="D6" s="449">
        <f>SUM(D7:D9)</f>
        <v>1164464</v>
      </c>
      <c r="E6" s="449">
        <f>SUM(E7:E9)</f>
        <v>1178198</v>
      </c>
      <c r="F6" s="116" t="s">
        <v>567</v>
      </c>
      <c r="G6" s="117"/>
      <c r="H6" s="200">
        <f>'2. sz. melléklet'!F5</f>
        <v>1161453</v>
      </c>
      <c r="I6" s="456">
        <f>'2. sz. melléklet'!G5</f>
        <v>1197396</v>
      </c>
      <c r="J6" s="770">
        <f>'2. sz. melléklet'!H5</f>
        <v>1212307</v>
      </c>
    </row>
    <row r="7" spans="1:10" ht="13.5" customHeight="1">
      <c r="A7" s="76"/>
      <c r="B7" s="146" t="s">
        <v>687</v>
      </c>
      <c r="C7" s="551">
        <f>'2. sz. melléklet'!B6</f>
        <v>1107179</v>
      </c>
      <c r="D7" s="434">
        <f>'2. sz. melléklet'!C6</f>
        <v>1130285</v>
      </c>
      <c r="E7" s="434">
        <f>'2. sz. melléklet'!D6</f>
        <v>1140761</v>
      </c>
      <c r="F7" s="73"/>
      <c r="G7" s="74"/>
      <c r="H7" s="201"/>
      <c r="I7" s="457"/>
      <c r="J7" s="210"/>
    </row>
    <row r="8" spans="1:10" ht="13.5" customHeight="1">
      <c r="A8" s="76"/>
      <c r="B8" s="549" t="s">
        <v>754</v>
      </c>
      <c r="C8" s="202"/>
      <c r="D8" s="434">
        <f>'2. sz. melléklet'!C7</f>
        <v>4841</v>
      </c>
      <c r="E8" s="434">
        <f>'2. sz. melléklet'!D7</f>
        <v>4841</v>
      </c>
      <c r="F8" s="73"/>
      <c r="G8" s="74"/>
      <c r="H8" s="201"/>
      <c r="I8" s="457"/>
      <c r="J8" s="210"/>
    </row>
    <row r="9" spans="1:10" ht="12.75" customHeight="1">
      <c r="A9" s="80"/>
      <c r="B9" s="147" t="s">
        <v>694</v>
      </c>
      <c r="C9" s="552"/>
      <c r="D9" s="434">
        <f>'2. sz. melléklet'!C8</f>
        <v>29338</v>
      </c>
      <c r="E9" s="434">
        <f>'2. sz. melléklet'!D8</f>
        <v>32596</v>
      </c>
      <c r="F9" s="76"/>
      <c r="G9" s="74"/>
      <c r="H9" s="202"/>
      <c r="I9" s="457"/>
      <c r="J9" s="210"/>
    </row>
    <row r="10" spans="1:11" ht="13.5" customHeight="1">
      <c r="A10" s="81" t="s">
        <v>597</v>
      </c>
      <c r="B10" s="82"/>
      <c r="C10" s="203">
        <f>SUM(C11:C12)</f>
        <v>421160</v>
      </c>
      <c r="D10" s="433">
        <f>SUM(D11:D12)</f>
        <v>498282</v>
      </c>
      <c r="E10" s="433">
        <f>SUM(E11:E13)</f>
        <v>603602</v>
      </c>
      <c r="F10" s="73" t="s">
        <v>212</v>
      </c>
      <c r="G10" s="74"/>
      <c r="H10" s="203">
        <f>'2. sz. melléklet'!F6</f>
        <v>308445</v>
      </c>
      <c r="I10" s="436">
        <f>'2. sz. melléklet'!G6</f>
        <v>316596</v>
      </c>
      <c r="J10" s="433">
        <f>'2. sz. melléklet'!H6</f>
        <v>319696</v>
      </c>
      <c r="K10" s="637"/>
    </row>
    <row r="11" spans="1:10" ht="12.75">
      <c r="A11" s="83"/>
      <c r="B11" s="147" t="s">
        <v>598</v>
      </c>
      <c r="C11" s="202">
        <f>'2. sz. melléklet'!B10</f>
        <v>107209</v>
      </c>
      <c r="D11" s="434">
        <f>'2. sz. melléklet'!C10</f>
        <v>10000</v>
      </c>
      <c r="E11" s="434">
        <f>'2. sz. melléklet'!D10</f>
        <v>6635</v>
      </c>
      <c r="F11" s="76"/>
      <c r="G11" s="74"/>
      <c r="H11" s="202"/>
      <c r="I11" s="457"/>
      <c r="J11" s="210"/>
    </row>
    <row r="12" spans="1:10" ht="12.75">
      <c r="A12" s="76"/>
      <c r="B12" s="147" t="s">
        <v>599</v>
      </c>
      <c r="C12" s="202">
        <f>'2. sz. melléklet'!B11</f>
        <v>313951</v>
      </c>
      <c r="D12" s="434">
        <f>'2. sz. melléklet'!C11</f>
        <v>488282</v>
      </c>
      <c r="E12" s="434">
        <f>'2. sz. melléklet'!D11</f>
        <v>566967</v>
      </c>
      <c r="F12" s="73"/>
      <c r="G12" s="74"/>
      <c r="H12" s="201"/>
      <c r="I12" s="457"/>
      <c r="J12" s="210"/>
    </row>
    <row r="13" spans="1:10" ht="12.75">
      <c r="A13" s="76"/>
      <c r="B13" s="147" t="s">
        <v>881</v>
      </c>
      <c r="C13" s="202"/>
      <c r="D13" s="434"/>
      <c r="E13" s="459">
        <v>30000</v>
      </c>
      <c r="F13" s="73" t="s">
        <v>569</v>
      </c>
      <c r="G13" s="74"/>
      <c r="H13" s="203">
        <f>'2. sz. melléklet'!F9</f>
        <v>1723449</v>
      </c>
      <c r="I13" s="436">
        <f>'2. sz. melléklet'!G9</f>
        <v>1839860</v>
      </c>
      <c r="J13" s="433">
        <f>'2. sz. melléklet'!H9</f>
        <v>1928244</v>
      </c>
    </row>
    <row r="14" spans="1:10" ht="12.75">
      <c r="A14" s="70" t="s">
        <v>600</v>
      </c>
      <c r="B14" s="77"/>
      <c r="C14" s="203">
        <f>SUM(C15:C17)</f>
        <v>1606819</v>
      </c>
      <c r="D14" s="433">
        <f>SUM(D15:D16)</f>
        <v>1462851</v>
      </c>
      <c r="E14" s="433">
        <f>SUM(E15:E16)</f>
        <v>1359121</v>
      </c>
      <c r="F14" s="76"/>
      <c r="G14" s="74"/>
      <c r="H14" s="197"/>
      <c r="I14" s="457"/>
      <c r="J14" s="210"/>
    </row>
    <row r="15" spans="1:10" ht="12.75">
      <c r="A15" s="78"/>
      <c r="B15" s="147" t="s">
        <v>598</v>
      </c>
      <c r="C15" s="206">
        <f>'2. sz. melléklet'!B48</f>
        <v>2290</v>
      </c>
      <c r="D15" s="435">
        <f>'2. sz. melléklet'!C48</f>
        <v>380</v>
      </c>
      <c r="E15" s="435">
        <f>'2. sz. melléklet'!D48</f>
        <v>380</v>
      </c>
      <c r="F15" s="71"/>
      <c r="G15" s="72"/>
      <c r="H15" s="204"/>
      <c r="I15" s="457"/>
      <c r="J15" s="210"/>
    </row>
    <row r="16" spans="1:10" ht="12.75">
      <c r="A16" s="78"/>
      <c r="B16" s="147" t="s">
        <v>599</v>
      </c>
      <c r="C16" s="206">
        <f>'2. sz. melléklet'!B49</f>
        <v>1604529</v>
      </c>
      <c r="D16" s="435">
        <f>'2. sz. melléklet'!C49</f>
        <v>1462471</v>
      </c>
      <c r="E16" s="435">
        <f>'2. sz. melléklet'!D49</f>
        <v>1358741</v>
      </c>
      <c r="F16" s="71" t="s">
        <v>576</v>
      </c>
      <c r="G16" s="197"/>
      <c r="H16" s="1123">
        <f>'2. sz. melléklet'!F10</f>
        <v>62251</v>
      </c>
      <c r="I16" s="458">
        <f>'2. sz. melléklet'!G10</f>
        <v>72284</v>
      </c>
      <c r="J16" s="771">
        <f>'2. sz. melléklet'!H10</f>
        <v>104765</v>
      </c>
    </row>
    <row r="17" spans="1:10" ht="12.75">
      <c r="A17" s="1133" t="s">
        <v>721</v>
      </c>
      <c r="B17" s="1134"/>
      <c r="C17" s="206"/>
      <c r="D17" s="433">
        <f>'2. sz. melléklet'!C51</f>
        <v>2908</v>
      </c>
      <c r="E17" s="433">
        <f>'2. sz. melléklet'!D51</f>
        <v>7581</v>
      </c>
      <c r="F17" s="76"/>
      <c r="G17" s="74"/>
      <c r="H17" s="197"/>
      <c r="I17" s="457"/>
      <c r="J17" s="210"/>
    </row>
    <row r="18" spans="1:10" ht="12.75">
      <c r="A18" s="548"/>
      <c r="B18" s="147" t="s">
        <v>694</v>
      </c>
      <c r="C18" s="206"/>
      <c r="D18" s="435">
        <f>'2. sz. melléklet'!C52</f>
        <v>1</v>
      </c>
      <c r="E18" s="435">
        <f>'2. sz. melléklet'!D52</f>
        <v>4674</v>
      </c>
      <c r="F18" s="76"/>
      <c r="G18" s="74"/>
      <c r="H18" s="197"/>
      <c r="I18" s="457"/>
      <c r="J18" s="210"/>
    </row>
    <row r="19" spans="1:10" ht="12.75">
      <c r="A19" s="386"/>
      <c r="B19" s="557" t="s">
        <v>755</v>
      </c>
      <c r="C19" s="206"/>
      <c r="D19" s="435">
        <f>'2. sz. melléklet'!C53</f>
        <v>2907</v>
      </c>
      <c r="E19" s="435">
        <f>'2. sz. melléklet'!D53</f>
        <v>2907</v>
      </c>
      <c r="F19" s="76"/>
      <c r="G19" s="74"/>
      <c r="H19" s="197"/>
      <c r="I19" s="457"/>
      <c r="J19" s="210"/>
    </row>
    <row r="20" spans="1:10" ht="12.75">
      <c r="A20" s="70" t="s">
        <v>267</v>
      </c>
      <c r="B20" s="75"/>
      <c r="C20" s="203">
        <f>SUM(C21:C24)</f>
        <v>1918951</v>
      </c>
      <c r="D20" s="433">
        <f>SUM(D21:D24)</f>
        <v>1918981</v>
      </c>
      <c r="E20" s="433">
        <f>SUM(E21:E24)</f>
        <v>1942723</v>
      </c>
      <c r="F20" s="71"/>
      <c r="G20" s="72"/>
      <c r="H20" s="204"/>
      <c r="I20" s="457"/>
      <c r="J20" s="210"/>
    </row>
    <row r="21" spans="1:10" ht="12.75">
      <c r="A21" s="76"/>
      <c r="B21" s="74" t="s">
        <v>609</v>
      </c>
      <c r="C21" s="206">
        <f>'2. sz. melléklet'!B14</f>
        <v>430000</v>
      </c>
      <c r="D21" s="435">
        <f>'2. sz. melléklet'!C14</f>
        <v>430000</v>
      </c>
      <c r="E21" s="435">
        <f>'2. sz. melléklet'!D14</f>
        <v>439000</v>
      </c>
      <c r="F21" s="71" t="s">
        <v>182</v>
      </c>
      <c r="G21" s="72"/>
      <c r="H21" s="204">
        <f>SUM(H22+H23+H24+H28)</f>
        <v>1111548</v>
      </c>
      <c r="I21" s="458">
        <f>SUM(I22+I23+I24+I28)</f>
        <v>1187887</v>
      </c>
      <c r="J21" s="771">
        <f>SUM(J22+J23+J24+J28)</f>
        <v>1213031</v>
      </c>
    </row>
    <row r="22" spans="1:10" ht="12.75">
      <c r="A22" s="78"/>
      <c r="B22" s="86" t="s">
        <v>579</v>
      </c>
      <c r="C22" s="206">
        <f>'2. sz. melléklet'!B15</f>
        <v>1468951</v>
      </c>
      <c r="D22" s="435">
        <f>'2. sz. melléklet'!C15</f>
        <v>1468951</v>
      </c>
      <c r="E22" s="435">
        <f>'2. sz. melléklet'!D15</f>
        <v>1492693</v>
      </c>
      <c r="F22" s="76"/>
      <c r="G22" s="197" t="s">
        <v>573</v>
      </c>
      <c r="H22" s="563">
        <f>'2. sz. melléklet'!F13</f>
        <v>42220</v>
      </c>
      <c r="I22" s="461">
        <f>'2. sz. melléklet'!G13</f>
        <v>40220</v>
      </c>
      <c r="J22" s="772">
        <f>'2. sz. melléklet'!H13</f>
        <v>36855</v>
      </c>
    </row>
    <row r="23" spans="1:10" ht="12.75">
      <c r="A23" s="76"/>
      <c r="B23" s="84" t="s">
        <v>35</v>
      </c>
      <c r="C23" s="206">
        <f>'2. sz. melléklet'!B16</f>
        <v>19500</v>
      </c>
      <c r="D23" s="435">
        <f>'2. sz. melléklet'!C16</f>
        <v>19500</v>
      </c>
      <c r="E23" s="435">
        <f>'2. sz. melléklet'!D16</f>
        <v>10500</v>
      </c>
      <c r="F23" s="76"/>
      <c r="G23" s="74" t="s">
        <v>574</v>
      </c>
      <c r="H23" s="202">
        <f>'2. sz. melléklet'!F14</f>
        <v>867928</v>
      </c>
      <c r="I23" s="459">
        <f>'2. sz. melléklet'!G14</f>
        <v>1105148</v>
      </c>
      <c r="J23" s="434">
        <f>'2. sz. melléklet'!H14</f>
        <v>1126155</v>
      </c>
    </row>
    <row r="24" spans="1:10" ht="14.25" customHeight="1">
      <c r="A24" s="81"/>
      <c r="B24" s="84" t="s">
        <v>497</v>
      </c>
      <c r="C24" s="206">
        <f>'2. sz. melléklet'!B17</f>
        <v>500</v>
      </c>
      <c r="D24" s="435">
        <f>'2. sz. melléklet'!C17</f>
        <v>530</v>
      </c>
      <c r="E24" s="435">
        <f>'2. sz. melléklet'!D17</f>
        <v>530</v>
      </c>
      <c r="F24" s="76"/>
      <c r="G24" s="72" t="s">
        <v>654</v>
      </c>
      <c r="H24" s="202">
        <f>SUM(H25:H27)</f>
        <v>193800</v>
      </c>
      <c r="I24" s="459">
        <f>SUM(I25:I27)</f>
        <v>27498</v>
      </c>
      <c r="J24" s="434">
        <f>SUM(J25:J27)</f>
        <v>5000</v>
      </c>
    </row>
    <row r="25" spans="1:10" ht="12.75">
      <c r="A25" s="81"/>
      <c r="B25" s="84"/>
      <c r="C25" s="206"/>
      <c r="D25" s="435"/>
      <c r="E25" s="443"/>
      <c r="F25" s="76"/>
      <c r="G25" s="90" t="s">
        <v>575</v>
      </c>
      <c r="H25" s="205">
        <f>'2. sz. melléklet'!F16</f>
        <v>15000</v>
      </c>
      <c r="I25" s="460">
        <f>'2. sz. melléklet'!G16</f>
        <v>6086</v>
      </c>
      <c r="J25" s="773">
        <f>'2. sz. melléklet'!H16</f>
        <v>4043</v>
      </c>
    </row>
    <row r="26" spans="1:10" ht="12.75">
      <c r="A26" s="71" t="s">
        <v>616</v>
      </c>
      <c r="B26" s="77"/>
      <c r="C26" s="203">
        <f>SUM(C27:C34)</f>
        <v>1224609</v>
      </c>
      <c r="D26" s="433">
        <f>SUM(D27:D34)</f>
        <v>1249257</v>
      </c>
      <c r="E26" s="433">
        <f>SUM(E27:E34)</f>
        <v>1201018</v>
      </c>
      <c r="F26" s="76"/>
      <c r="G26" s="118" t="s">
        <v>32</v>
      </c>
      <c r="H26" s="205">
        <f>'2. sz. melléklet'!F17</f>
        <v>100000</v>
      </c>
      <c r="I26" s="460">
        <f>'2. sz. melléklet'!G17</f>
        <v>7373</v>
      </c>
      <c r="J26" s="773">
        <f>'2. sz. melléklet'!H17</f>
        <v>957</v>
      </c>
    </row>
    <row r="27" spans="1:10" ht="12.75">
      <c r="A27" s="76"/>
      <c r="B27" s="74" t="s">
        <v>186</v>
      </c>
      <c r="C27" s="206">
        <f>'2. sz. melléklet'!B19</f>
        <v>523842</v>
      </c>
      <c r="D27" s="435">
        <f>'2. sz. melléklet'!C19</f>
        <v>520520</v>
      </c>
      <c r="E27" s="435">
        <f>'2. sz. melléklet'!D19</f>
        <v>520520</v>
      </c>
      <c r="F27" s="76"/>
      <c r="G27" s="111" t="s">
        <v>585</v>
      </c>
      <c r="H27" s="205">
        <f>'2. sz. melléklet'!F18</f>
        <v>78800</v>
      </c>
      <c r="I27" s="460">
        <f>'2. sz. melléklet'!G18</f>
        <v>14039</v>
      </c>
      <c r="J27" s="773">
        <f>'2. sz. melléklet'!H18</f>
        <v>0</v>
      </c>
    </row>
    <row r="28" spans="1:10" ht="12.75">
      <c r="A28" s="76"/>
      <c r="B28" s="74" t="s">
        <v>580</v>
      </c>
      <c r="C28" s="206">
        <f>'2. sz. melléklet'!B20</f>
        <v>90640</v>
      </c>
      <c r="D28" s="435">
        <f>'2. sz. melléklet'!C20</f>
        <v>109239</v>
      </c>
      <c r="E28" s="435">
        <f>'2. sz. melléklet'!D20</f>
        <v>108976</v>
      </c>
      <c r="F28" s="76"/>
      <c r="G28" s="72" t="s">
        <v>33</v>
      </c>
      <c r="H28" s="206">
        <f>'2. sz. melléklet'!F19</f>
        <v>7600</v>
      </c>
      <c r="I28" s="443">
        <f>'2. sz. melléklet'!G19</f>
        <v>15021</v>
      </c>
      <c r="J28" s="435">
        <f>'2. sz. melléklet'!H19</f>
        <v>45021</v>
      </c>
    </row>
    <row r="29" spans="1:10" ht="12.75">
      <c r="A29" s="76"/>
      <c r="B29" s="74" t="s">
        <v>37</v>
      </c>
      <c r="C29" s="206">
        <f>'2. sz. melléklet'!B21</f>
        <v>32100</v>
      </c>
      <c r="D29" s="435">
        <f>'2. sz. melléklet'!C21</f>
        <v>33064</v>
      </c>
      <c r="E29" s="435">
        <f>'2. sz. melléklet'!D21</f>
        <v>33064</v>
      </c>
      <c r="F29" s="119"/>
      <c r="G29" s="74"/>
      <c r="H29" s="207"/>
      <c r="I29" s="457"/>
      <c r="J29" s="210"/>
    </row>
    <row r="30" spans="1:10" ht="12.75" customHeight="1">
      <c r="A30" s="70"/>
      <c r="B30" s="72" t="s">
        <v>581</v>
      </c>
      <c r="C30" s="206">
        <f>'2. sz. melléklet'!B22</f>
        <v>101169</v>
      </c>
      <c r="D30" s="435">
        <f>'2. sz. melléklet'!C22</f>
        <v>101169</v>
      </c>
      <c r="E30" s="435">
        <f>'2. sz. melléklet'!D22</f>
        <v>108567</v>
      </c>
      <c r="F30" s="71"/>
      <c r="G30" s="74"/>
      <c r="H30" s="204"/>
      <c r="I30" s="457"/>
      <c r="J30" s="210"/>
    </row>
    <row r="31" spans="1:10" ht="12.75">
      <c r="A31" s="76"/>
      <c r="B31" s="72" t="s">
        <v>618</v>
      </c>
      <c r="C31" s="206">
        <f>'2. sz. melléklet'!B23</f>
        <v>92312</v>
      </c>
      <c r="D31" s="435">
        <f>'2. sz. melléklet'!C23</f>
        <v>94111</v>
      </c>
      <c r="E31" s="435">
        <f>'2. sz. melléklet'!D23</f>
        <v>94111</v>
      </c>
      <c r="F31" s="71" t="s">
        <v>183</v>
      </c>
      <c r="G31" s="74"/>
      <c r="H31" s="203">
        <f>'2. sz. melléklet'!F47</f>
        <v>2245365</v>
      </c>
      <c r="I31" s="436">
        <f>'2. sz. melléklet'!G47</f>
        <v>2233463</v>
      </c>
      <c r="J31" s="433">
        <f>'2. sz. melléklet'!H47</f>
        <v>2014605</v>
      </c>
    </row>
    <row r="32" spans="1:10" ht="12.75">
      <c r="A32" s="78"/>
      <c r="B32" s="77" t="s">
        <v>153</v>
      </c>
      <c r="C32" s="206">
        <f>'2. sz. melléklet'!B24</f>
        <v>237476</v>
      </c>
      <c r="D32" s="435">
        <f>'2. sz. melléklet'!C24</f>
        <v>243593</v>
      </c>
      <c r="E32" s="435">
        <f>'2. sz. melléklet'!D24</f>
        <v>237043</v>
      </c>
      <c r="F32" s="76"/>
      <c r="G32" s="74"/>
      <c r="H32" s="202"/>
      <c r="I32" s="457"/>
      <c r="J32" s="210"/>
    </row>
    <row r="33" spans="1:10" ht="12.75">
      <c r="A33" s="76"/>
      <c r="B33" s="110" t="s">
        <v>211</v>
      </c>
      <c r="C33" s="206">
        <f>'2. sz. melléklet'!B25</f>
        <v>16766</v>
      </c>
      <c r="D33" s="435">
        <f>'2. sz. melléklet'!C25</f>
        <v>17000</v>
      </c>
      <c r="E33" s="435">
        <f>'2. sz. melléklet'!D25</f>
        <v>3769</v>
      </c>
      <c r="F33" s="71"/>
      <c r="G33" s="74"/>
      <c r="H33" s="203"/>
      <c r="I33" s="457"/>
      <c r="J33" s="210"/>
    </row>
    <row r="34" spans="1:10" ht="12.75">
      <c r="A34" s="76"/>
      <c r="B34" s="110" t="s">
        <v>136</v>
      </c>
      <c r="C34" s="206">
        <f>'2. sz. melléklet'!B26</f>
        <v>130304</v>
      </c>
      <c r="D34" s="435">
        <f>'2. sz. melléklet'!C26</f>
        <v>130561</v>
      </c>
      <c r="E34" s="435">
        <f>'2. sz. melléklet'!D26</f>
        <v>94968</v>
      </c>
      <c r="F34" s="71" t="s">
        <v>184</v>
      </c>
      <c r="G34" s="74"/>
      <c r="H34" s="204">
        <f>'2. sz. melléklet'!F49</f>
        <v>253927</v>
      </c>
      <c r="I34" s="458">
        <f>'2. sz. melléklet'!G49</f>
        <v>247194</v>
      </c>
      <c r="J34" s="771">
        <f>'2. sz. melléklet'!H49</f>
        <v>243780</v>
      </c>
    </row>
    <row r="35" spans="1:10" ht="13.5" customHeight="1">
      <c r="A35" s="78"/>
      <c r="B35" s="77"/>
      <c r="C35" s="206"/>
      <c r="D35" s="435"/>
      <c r="E35" s="443"/>
      <c r="F35" s="76"/>
      <c r="G35" s="74"/>
      <c r="H35" s="207"/>
      <c r="I35" s="457"/>
      <c r="J35" s="210"/>
    </row>
    <row r="36" spans="1:10" ht="12.75">
      <c r="A36" s="73" t="s">
        <v>620</v>
      </c>
      <c r="B36" s="86"/>
      <c r="C36" s="203">
        <f>SUM(C37)</f>
        <v>191090</v>
      </c>
      <c r="D36" s="433">
        <f>SUM(D37:D39)</f>
        <v>162348</v>
      </c>
      <c r="E36" s="433">
        <f>SUM(E37:E39)</f>
        <v>162348</v>
      </c>
      <c r="F36" s="71"/>
      <c r="G36" s="74"/>
      <c r="H36" s="438"/>
      <c r="I36" s="457"/>
      <c r="J36" s="210"/>
    </row>
    <row r="37" spans="1:10" ht="12.75">
      <c r="A37" s="73"/>
      <c r="B37" s="74" t="s">
        <v>621</v>
      </c>
      <c r="C37" s="206">
        <f>'2. sz. melléklet'!B55</f>
        <v>191090</v>
      </c>
      <c r="D37" s="435">
        <f>'2. sz. melléklet'!C55</f>
        <v>162088</v>
      </c>
      <c r="E37" s="435">
        <f>'2. sz. melléklet'!D55</f>
        <v>162088</v>
      </c>
      <c r="F37" s="71" t="s">
        <v>588</v>
      </c>
      <c r="G37" s="437"/>
      <c r="H37" s="85">
        <f>SUM(H39:H41)</f>
        <v>440707</v>
      </c>
      <c r="I37" s="436">
        <f>SUM(I39:I41)</f>
        <v>302792</v>
      </c>
      <c r="J37" s="433">
        <f>SUM(J39:J41)</f>
        <v>266412</v>
      </c>
    </row>
    <row r="38" spans="1:10" ht="12.75">
      <c r="A38" s="559"/>
      <c r="B38" s="560" t="s">
        <v>756</v>
      </c>
      <c r="C38" s="206"/>
      <c r="D38" s="435">
        <f>'2. sz. melléklet'!C56</f>
        <v>10</v>
      </c>
      <c r="E38" s="435">
        <f>'2. sz. melléklet'!D56</f>
        <v>10</v>
      </c>
      <c r="F38" s="71"/>
      <c r="G38" s="437"/>
      <c r="H38" s="85"/>
      <c r="I38" s="436"/>
      <c r="J38" s="210"/>
    </row>
    <row r="39" spans="1:11" ht="12.75">
      <c r="A39" s="559"/>
      <c r="B39" s="561" t="s">
        <v>757</v>
      </c>
      <c r="C39" s="206"/>
      <c r="D39" s="435">
        <f>'2. sz. melléklet'!C57</f>
        <v>250</v>
      </c>
      <c r="E39" s="435">
        <f>'2. sz. melléklet'!D57</f>
        <v>250</v>
      </c>
      <c r="F39" s="71"/>
      <c r="G39" s="74" t="s">
        <v>589</v>
      </c>
      <c r="H39" s="439">
        <f>'2. sz. melléklet'!F55</f>
        <v>193590</v>
      </c>
      <c r="I39" s="461">
        <f>'2. sz. melléklet'!G55</f>
        <v>232626</v>
      </c>
      <c r="J39" s="772">
        <f>'2. sz. melléklet'!H55</f>
        <v>236426</v>
      </c>
      <c r="K39" s="769"/>
    </row>
    <row r="40" spans="1:10" ht="12.75">
      <c r="A40" s="73" t="s">
        <v>719</v>
      </c>
      <c r="B40" s="74"/>
      <c r="C40" s="206"/>
      <c r="D40" s="433">
        <f>SUM(D41:D42)</f>
        <v>102908</v>
      </c>
      <c r="E40" s="433">
        <f>SUM(E41:E42)</f>
        <v>48757</v>
      </c>
      <c r="F40" s="71"/>
      <c r="G40" s="77" t="s">
        <v>573</v>
      </c>
      <c r="H40" s="206"/>
      <c r="I40" s="461">
        <f>'2. sz. melléklet'!G56</f>
        <v>29786</v>
      </c>
      <c r="J40" s="772">
        <f>'2. sz. melléklet'!H56</f>
        <v>29986</v>
      </c>
    </row>
    <row r="41" spans="1:10" ht="13.5" customHeight="1">
      <c r="A41" s="73"/>
      <c r="B41" s="74" t="s">
        <v>573</v>
      </c>
      <c r="C41" s="206"/>
      <c r="D41" s="435">
        <f>'2. sz. melléklet'!C31</f>
        <v>96209</v>
      </c>
      <c r="E41" s="435">
        <f>'2. sz. melléklet'!D31</f>
        <v>38720</v>
      </c>
      <c r="F41" s="71"/>
      <c r="G41" s="564" t="s">
        <v>248</v>
      </c>
      <c r="H41" s="87">
        <f>SUM(H42:H43)</f>
        <v>247117</v>
      </c>
      <c r="I41" s="443">
        <f>SUM(I42:I43)</f>
        <v>40380</v>
      </c>
      <c r="J41" s="435">
        <f>SUM(J42:J43)</f>
        <v>0</v>
      </c>
    </row>
    <row r="42" spans="1:10" ht="27" customHeight="1">
      <c r="A42" s="73"/>
      <c r="B42" s="86" t="s">
        <v>599</v>
      </c>
      <c r="C42" s="206"/>
      <c r="D42" s="435">
        <f>'2. sz. melléklet'!C32</f>
        <v>6699</v>
      </c>
      <c r="E42" s="435">
        <f>'2. sz. melléklet'!D32</f>
        <v>10037</v>
      </c>
      <c r="F42" s="76"/>
      <c r="G42" s="562" t="s">
        <v>789</v>
      </c>
      <c r="H42" s="205">
        <f>'2. sz. melléklet'!F59</f>
        <v>77075</v>
      </c>
      <c r="I42" s="460">
        <f>'2. sz. melléklet'!G59</f>
        <v>31474</v>
      </c>
      <c r="J42" s="773">
        <f>'2. sz. melléklet'!H59</f>
        <v>0</v>
      </c>
    </row>
    <row r="43" spans="1:10" ht="12.75" customHeight="1">
      <c r="A43" s="73"/>
      <c r="B43" s="86"/>
      <c r="C43" s="206"/>
      <c r="D43" s="435"/>
      <c r="E43" s="443"/>
      <c r="F43" s="76"/>
      <c r="G43" s="90" t="s">
        <v>590</v>
      </c>
      <c r="H43" s="205">
        <f>'2. sz. melléklet'!F60</f>
        <v>170042</v>
      </c>
      <c r="I43" s="460">
        <f>'2. sz. melléklet'!G60</f>
        <v>8906</v>
      </c>
      <c r="J43" s="773">
        <f>'2. sz. melléklet'!H60</f>
        <v>0</v>
      </c>
    </row>
    <row r="44" spans="1:10" ht="12.75" customHeight="1">
      <c r="A44" s="71" t="s">
        <v>622</v>
      </c>
      <c r="B44" s="72"/>
      <c r="C44" s="203">
        <f>SUM(C45)</f>
        <v>28075</v>
      </c>
      <c r="D44" s="433">
        <f>SUM(D45:D47)</f>
        <v>63533</v>
      </c>
      <c r="E44" s="433">
        <f>SUM(E45:E47)</f>
        <v>36458</v>
      </c>
      <c r="F44" s="76"/>
      <c r="G44" s="77"/>
      <c r="H44" s="206"/>
      <c r="I44" s="443"/>
      <c r="J44" s="210"/>
    </row>
    <row r="45" spans="1:10" ht="30.75" customHeight="1">
      <c r="A45" s="108"/>
      <c r="B45" s="193" t="s">
        <v>572</v>
      </c>
      <c r="C45" s="206">
        <f>'2. sz. melléklet'!B59</f>
        <v>28075</v>
      </c>
      <c r="D45" s="435">
        <f>'2. sz. melléklet'!C59</f>
        <v>28075</v>
      </c>
      <c r="E45" s="435">
        <f>'2. sz. melléklet'!D59</f>
        <v>1000</v>
      </c>
      <c r="F45" s="71"/>
      <c r="G45" s="195"/>
      <c r="H45" s="205"/>
      <c r="I45" s="460"/>
      <c r="J45" s="210"/>
    </row>
    <row r="46" spans="1:10" ht="12.75" customHeight="1">
      <c r="A46" s="73"/>
      <c r="B46" s="74" t="s">
        <v>573</v>
      </c>
      <c r="C46" s="206"/>
      <c r="D46" s="435">
        <f>'2. sz. melléklet'!C60</f>
        <v>30696</v>
      </c>
      <c r="E46" s="435">
        <f>'2. sz. melléklet'!D60</f>
        <v>30696</v>
      </c>
      <c r="F46" s="71"/>
      <c r="G46" s="90"/>
      <c r="H46" s="205"/>
      <c r="I46" s="460"/>
      <c r="J46" s="210"/>
    </row>
    <row r="47" spans="1:10" ht="12.75" customHeight="1">
      <c r="A47" s="194"/>
      <c r="B47" s="74" t="s">
        <v>599</v>
      </c>
      <c r="C47" s="202"/>
      <c r="D47" s="435">
        <f>'2. sz. melléklet'!C61</f>
        <v>4762</v>
      </c>
      <c r="E47" s="435">
        <f>'2. sz. melléklet'!D61</f>
        <v>4762</v>
      </c>
      <c r="F47" s="76"/>
      <c r="G47" s="72"/>
      <c r="H47" s="206"/>
      <c r="I47" s="457"/>
      <c r="J47" s="210"/>
    </row>
    <row r="48" spans="1:10" ht="12.75" customHeight="1">
      <c r="A48" s="194"/>
      <c r="B48" s="192"/>
      <c r="C48" s="202"/>
      <c r="D48" s="434"/>
      <c r="E48" s="459"/>
      <c r="F48" s="76"/>
      <c r="G48" s="72"/>
      <c r="H48" s="206"/>
      <c r="I48" s="457"/>
      <c r="J48" s="210"/>
    </row>
    <row r="49" spans="1:10" ht="18.75" customHeight="1">
      <c r="A49" s="112" t="s">
        <v>142</v>
      </c>
      <c r="B49" s="88"/>
      <c r="C49" s="553">
        <f>SUM(C6+C10+C14+C20+C26+C36+C44)</f>
        <v>6497883</v>
      </c>
      <c r="D49" s="450">
        <f>SUM(D6+D10+D14+D20+D26+D36+D44+D17+D40)</f>
        <v>6625532</v>
      </c>
      <c r="E49" s="450">
        <f>SUM(E6+E10+E14+E20+E26+E36+E44+E17+E40)</f>
        <v>6539806</v>
      </c>
      <c r="F49" s="73" t="s">
        <v>143</v>
      </c>
      <c r="G49" s="79"/>
      <c r="H49" s="201">
        <f>SUM(H6+H10+H13+H16+H21+H31+H34+H37)</f>
        <v>7307145</v>
      </c>
      <c r="I49" s="462">
        <f>SUM(I6+I10+I13+I16+I21+I31+I34+I37)</f>
        <v>7397472</v>
      </c>
      <c r="J49" s="774">
        <f>SUM(J6+J10+J13+J16+J21+J31+J34+J37)</f>
        <v>7302840</v>
      </c>
    </row>
    <row r="50" spans="1:10" ht="12.75" customHeight="1">
      <c r="A50" s="76"/>
      <c r="B50" s="74"/>
      <c r="C50" s="202"/>
      <c r="D50" s="434"/>
      <c r="E50" s="459"/>
      <c r="F50" s="76"/>
      <c r="G50" s="74"/>
      <c r="H50" s="207"/>
      <c r="I50" s="457"/>
      <c r="J50" s="210"/>
    </row>
    <row r="51" spans="1:10" ht="12.75" customHeight="1">
      <c r="A51" s="89" t="s">
        <v>185</v>
      </c>
      <c r="B51" s="82"/>
      <c r="C51" s="203"/>
      <c r="D51" s="433"/>
      <c r="E51" s="436"/>
      <c r="F51" s="1133" t="s">
        <v>730</v>
      </c>
      <c r="G51" s="1134"/>
      <c r="H51" s="206"/>
      <c r="I51" s="436">
        <f>SUM(I52:I54)</f>
        <v>257081</v>
      </c>
      <c r="J51" s="433">
        <f>SUM(J52:J54)</f>
        <v>257081</v>
      </c>
    </row>
    <row r="52" spans="1:11" ht="12.75" customHeight="1">
      <c r="A52" s="89"/>
      <c r="B52" s="82"/>
      <c r="C52" s="203"/>
      <c r="D52" s="433"/>
      <c r="E52" s="436"/>
      <c r="F52" s="1135" t="s">
        <v>727</v>
      </c>
      <c r="G52" s="1136"/>
      <c r="H52" s="206"/>
      <c r="I52" s="443">
        <f>'2. sz. melléklet'!G69</f>
        <v>35131</v>
      </c>
      <c r="J52" s="435">
        <f>'2. sz. melléklet'!H69</f>
        <v>35131</v>
      </c>
      <c r="K52" s="638"/>
    </row>
    <row r="53" spans="1:11" ht="12.75" customHeight="1">
      <c r="A53" s="1129" t="s">
        <v>659</v>
      </c>
      <c r="B53" s="1130"/>
      <c r="C53" s="554"/>
      <c r="D53" s="451"/>
      <c r="E53" s="635"/>
      <c r="F53" s="1135" t="s">
        <v>728</v>
      </c>
      <c r="G53" s="1136"/>
      <c r="H53" s="204"/>
      <c r="I53" s="443">
        <f>'2. sz. melléklet'!G70</f>
        <v>55556</v>
      </c>
      <c r="J53" s="435">
        <f>'2. sz. melléklet'!H70</f>
        <v>55556</v>
      </c>
      <c r="K53" s="638"/>
    </row>
    <row r="54" spans="1:10" ht="12.75" customHeight="1">
      <c r="A54" s="149" t="s">
        <v>660</v>
      </c>
      <c r="B54" s="148"/>
      <c r="C54" s="555">
        <f>SUM(C55:C55)</f>
        <v>709262</v>
      </c>
      <c r="D54" s="452">
        <f>SUM(D55:D56)</f>
        <v>875656</v>
      </c>
      <c r="E54" s="452">
        <f>SUM(E55:E56)</f>
        <v>866750</v>
      </c>
      <c r="F54" s="1137" t="s">
        <v>788</v>
      </c>
      <c r="G54" s="1138"/>
      <c r="H54" s="204"/>
      <c r="I54" s="443">
        <f>'2. sz. melléklet'!G71</f>
        <v>166394</v>
      </c>
      <c r="J54" s="435">
        <f>'2. sz. melléklet'!H71</f>
        <v>166394</v>
      </c>
    </row>
    <row r="55" spans="1:10" ht="12.75" customHeight="1">
      <c r="A55" s="70"/>
      <c r="B55" s="150" t="s">
        <v>661</v>
      </c>
      <c r="C55" s="554">
        <f>'2. sz. melléklet'!B71</f>
        <v>709262</v>
      </c>
      <c r="D55" s="451">
        <f>'2. sz. melléklet'!C71</f>
        <v>709262</v>
      </c>
      <c r="E55" s="451">
        <f>'2. sz. melléklet'!D71</f>
        <v>700356</v>
      </c>
      <c r="F55" s="1133" t="s">
        <v>753</v>
      </c>
      <c r="G55" s="1134"/>
      <c r="H55" s="204"/>
      <c r="I55" s="436">
        <f>'2. sz. melléklet'!G36</f>
        <v>560500</v>
      </c>
      <c r="J55" s="433">
        <f>'2. sz. melléklet'!H36</f>
        <v>679085</v>
      </c>
    </row>
    <row r="56" spans="1:10" ht="13.5" customHeight="1">
      <c r="A56" s="149"/>
      <c r="B56" s="568" t="s">
        <v>788</v>
      </c>
      <c r="C56" s="554"/>
      <c r="D56" s="569">
        <f>'2. sz. melléklet'!C72</f>
        <v>166394</v>
      </c>
      <c r="E56" s="569">
        <f>'2. sz. melléklet'!D72</f>
        <v>166394</v>
      </c>
      <c r="F56" s="386"/>
      <c r="G56" s="565"/>
      <c r="H56" s="204"/>
      <c r="I56" s="436"/>
      <c r="J56" s="210"/>
    </row>
    <row r="57" spans="1:10" ht="12.75" customHeight="1">
      <c r="A57" s="1129" t="s">
        <v>758</v>
      </c>
      <c r="B57" s="1130"/>
      <c r="C57" s="554"/>
      <c r="D57" s="452">
        <f>'2. sz. melléklet'!C36</f>
        <v>560500</v>
      </c>
      <c r="E57" s="452">
        <f>'2. sz. melléklet'!D36</f>
        <v>679085</v>
      </c>
      <c r="F57" s="1133" t="s">
        <v>715</v>
      </c>
      <c r="G57" s="1134"/>
      <c r="H57" s="204"/>
      <c r="I57" s="436">
        <f>'2. sz. melléklet'!G34</f>
        <v>420000</v>
      </c>
      <c r="J57" s="433">
        <f>'2. sz. melléklet'!H34</f>
        <v>1250000</v>
      </c>
    </row>
    <row r="58" spans="1:10" ht="12.75" customHeight="1">
      <c r="A58" s="1129" t="s">
        <v>624</v>
      </c>
      <c r="B58" s="1130"/>
      <c r="C58" s="555">
        <v>100000</v>
      </c>
      <c r="D58" s="452">
        <v>153365</v>
      </c>
      <c r="E58" s="452">
        <v>153365</v>
      </c>
      <c r="F58" s="71"/>
      <c r="G58" s="79"/>
      <c r="H58" s="204"/>
      <c r="I58" s="457"/>
      <c r="J58" s="210"/>
    </row>
    <row r="59" spans="1:10" ht="12.75" customHeight="1">
      <c r="A59" s="108"/>
      <c r="B59" s="115"/>
      <c r="C59" s="554"/>
      <c r="D59" s="451"/>
      <c r="E59" s="635"/>
      <c r="F59" s="36"/>
      <c r="G59" s="79"/>
      <c r="H59" s="204"/>
      <c r="I59" s="457"/>
      <c r="J59" s="210"/>
    </row>
    <row r="60" spans="1:10" ht="12.75" customHeight="1">
      <c r="A60" s="1141" t="s">
        <v>141</v>
      </c>
      <c r="B60" s="1142"/>
      <c r="C60" s="555">
        <f>'2. sz. melléklet'!B38</f>
        <v>1656216</v>
      </c>
      <c r="D60" s="452">
        <f>'2. sz. melléklet'!C38</f>
        <v>1701357</v>
      </c>
      <c r="E60" s="452">
        <f>'2. sz. melléklet'!D38</f>
        <v>1706186</v>
      </c>
      <c r="F60" s="73" t="s">
        <v>247</v>
      </c>
      <c r="G60" s="79"/>
      <c r="H60" s="204">
        <f>'2. sz. melléklet'!F35</f>
        <v>1656216</v>
      </c>
      <c r="I60" s="458">
        <f>'2. sz. melléklet'!G35</f>
        <v>1701357</v>
      </c>
      <c r="J60" s="771">
        <f>'2. sz. melléklet'!H35</f>
        <v>1706186</v>
      </c>
    </row>
    <row r="61" spans="1:10" ht="12.75" customHeight="1">
      <c r="A61" s="380"/>
      <c r="B61" s="381"/>
      <c r="C61" s="555"/>
      <c r="D61" s="452"/>
      <c r="E61" s="636"/>
      <c r="F61" s="73"/>
      <c r="G61" s="79"/>
      <c r="H61" s="204"/>
      <c r="I61" s="458"/>
      <c r="J61" s="210"/>
    </row>
    <row r="62" spans="1:10" ht="15" customHeight="1">
      <c r="A62" s="1145" t="s">
        <v>722</v>
      </c>
      <c r="B62" s="1146"/>
      <c r="C62" s="202"/>
      <c r="D62" s="452">
        <f>'2. sz. melléklet'!C37</f>
        <v>420000</v>
      </c>
      <c r="E62" s="452">
        <f>'2. sz. melléklet'!D37</f>
        <v>1250000</v>
      </c>
      <c r="F62" s="36"/>
      <c r="G62" s="79"/>
      <c r="H62" s="204"/>
      <c r="I62" s="457"/>
      <c r="J62" s="210"/>
    </row>
    <row r="63" spans="1:10" ht="15" customHeight="1">
      <c r="A63" s="1143" t="s">
        <v>144</v>
      </c>
      <c r="B63" s="1144"/>
      <c r="C63" s="553">
        <f>SUM(C53+C54+C57+C58+C60)</f>
        <v>2465478</v>
      </c>
      <c r="D63" s="450">
        <f>SUM(D53+D54+D57+D58+D60+D62)</f>
        <v>3710878</v>
      </c>
      <c r="E63" s="450">
        <f>SUM(E53+E54+E57+E58+E60+E62)</f>
        <v>4655386</v>
      </c>
      <c r="F63" s="73" t="s">
        <v>145</v>
      </c>
      <c r="G63" s="91"/>
      <c r="H63" s="203">
        <f>SUM(H60:H62)</f>
        <v>1656216</v>
      </c>
      <c r="I63" s="436">
        <f>(I51+I57+I60+I55)</f>
        <v>2938938</v>
      </c>
      <c r="J63" s="433">
        <f>(J51+J57+J60+J55)</f>
        <v>3892352</v>
      </c>
    </row>
    <row r="64" spans="1:10" ht="12.75" customHeight="1">
      <c r="A64" s="1139"/>
      <c r="B64" s="1140"/>
      <c r="C64" s="206"/>
      <c r="D64" s="435"/>
      <c r="E64" s="443"/>
      <c r="F64" s="73"/>
      <c r="G64" s="74"/>
      <c r="H64" s="202"/>
      <c r="I64" s="457"/>
      <c r="J64" s="210"/>
    </row>
    <row r="65" spans="1:10" ht="19.5" customHeight="1" thickBot="1">
      <c r="A65" s="92" t="s">
        <v>627</v>
      </c>
      <c r="B65" s="93"/>
      <c r="C65" s="556">
        <f>SUM(C49+C63)</f>
        <v>8963361</v>
      </c>
      <c r="D65" s="453">
        <f>SUM(D49+D63)</f>
        <v>10336410</v>
      </c>
      <c r="E65" s="453">
        <f>SUM(E49+E63)</f>
        <v>11195192</v>
      </c>
      <c r="F65" s="94" t="s">
        <v>593</v>
      </c>
      <c r="G65" s="95"/>
      <c r="H65" s="208">
        <f>SUM(H49,H63)</f>
        <v>8963361</v>
      </c>
      <c r="I65" s="463">
        <f>SUM(I49,I63)</f>
        <v>10336410</v>
      </c>
      <c r="J65" s="775">
        <f>SUM(J49,J63)</f>
        <v>11195192</v>
      </c>
    </row>
    <row r="66" ht="15" customHeight="1"/>
    <row r="67" ht="15" customHeight="1"/>
    <row r="68" ht="15" customHeight="1"/>
    <row r="69" ht="27" customHeight="1">
      <c r="F69" s="96"/>
    </row>
    <row r="70" ht="15" customHeight="1"/>
    <row r="71" ht="15" customHeight="1"/>
    <row r="72" ht="15" customHeight="1"/>
    <row r="73" ht="15" customHeight="1"/>
    <row r="74" spans="1:5" ht="15" customHeight="1">
      <c r="A74" s="96"/>
      <c r="B74" s="97"/>
      <c r="C74" s="98"/>
      <c r="D74" s="98"/>
      <c r="E74" s="98"/>
    </row>
    <row r="75" ht="15" customHeight="1"/>
    <row r="76" ht="12.75" customHeight="1"/>
  </sheetData>
  <sheetProtection/>
  <mergeCells count="19">
    <mergeCell ref="F55:G55"/>
    <mergeCell ref="F54:G54"/>
    <mergeCell ref="F57:G57"/>
    <mergeCell ref="A64:B64"/>
    <mergeCell ref="A57:B57"/>
    <mergeCell ref="A58:B58"/>
    <mergeCell ref="A60:B60"/>
    <mergeCell ref="A63:B63"/>
    <mergeCell ref="A62:B62"/>
    <mergeCell ref="A2:H2"/>
    <mergeCell ref="A4:C4"/>
    <mergeCell ref="F4:H4"/>
    <mergeCell ref="A53:B53"/>
    <mergeCell ref="A5:B5"/>
    <mergeCell ref="A17:B17"/>
    <mergeCell ref="F53:G53"/>
    <mergeCell ref="F52:G52"/>
    <mergeCell ref="F51:G51"/>
    <mergeCell ref="F5:G5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59" r:id="rId1"/>
  <headerFooter alignWithMargins="0">
    <oddHeader>&amp;L1. melléklet a 28/2015.(XII.18.)  önkormányzati rendelethez
1. melléklet az 1/2015.(I.30.)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SheetLayoutView="100" workbookViewId="0" topLeftCell="B1">
      <selection activeCell="I4" sqref="I4"/>
    </sheetView>
  </sheetViews>
  <sheetFormatPr defaultColWidth="9.00390625" defaultRowHeight="12.75"/>
  <cols>
    <col min="1" max="1" width="0" style="288" hidden="1" customWidth="1"/>
    <col min="2" max="2" width="82.00390625" style="290" customWidth="1"/>
    <col min="3" max="3" width="12.25390625" style="291" customWidth="1"/>
    <col min="4" max="4" width="12.25390625" style="292" hidden="1" customWidth="1"/>
    <col min="5" max="6" width="10.625" style="293" hidden="1" customWidth="1"/>
    <col min="7" max="7" width="10.625" style="293" customWidth="1"/>
    <col min="8" max="8" width="10.625" style="293" hidden="1" customWidth="1"/>
    <col min="9" max="9" width="11.375" style="761" customWidth="1"/>
    <col min="10" max="16384" width="9.125" style="289" customWidth="1"/>
  </cols>
  <sheetData>
    <row r="1" spans="2:9" ht="15.75">
      <c r="B1" s="1245" t="s">
        <v>27</v>
      </c>
      <c r="C1" s="1245"/>
      <c r="D1" s="1245"/>
      <c r="E1" s="1245"/>
      <c r="F1" s="1245"/>
      <c r="G1" s="1245"/>
      <c r="H1" s="1245"/>
      <c r="I1" s="1245"/>
    </row>
    <row r="2" spans="2:9" ht="14.25" customHeight="1">
      <c r="B2" s="1246" t="s">
        <v>16</v>
      </c>
      <c r="C2" s="1246"/>
      <c r="D2" s="1246"/>
      <c r="E2" s="1246"/>
      <c r="F2" s="1246"/>
      <c r="G2" s="1246"/>
      <c r="H2" s="1246"/>
      <c r="I2" s="1246"/>
    </row>
    <row r="3" spans="2:8" ht="13.5" thickBot="1">
      <c r="B3" s="691"/>
      <c r="C3" s="330"/>
      <c r="D3" s="331"/>
      <c r="E3" s="692"/>
      <c r="F3" s="692"/>
      <c r="G3" s="692"/>
      <c r="H3" s="692"/>
    </row>
    <row r="4" spans="1:9" ht="27" customHeight="1">
      <c r="A4" s="308" t="s">
        <v>40</v>
      </c>
      <c r="B4" s="295" t="s">
        <v>629</v>
      </c>
      <c r="C4" s="296" t="s">
        <v>4</v>
      </c>
      <c r="D4" s="299" t="s">
        <v>671</v>
      </c>
      <c r="E4" s="516" t="s">
        <v>668</v>
      </c>
      <c r="F4" s="516" t="s">
        <v>760</v>
      </c>
      <c r="G4" s="693" t="s">
        <v>733</v>
      </c>
      <c r="H4" s="749" t="s">
        <v>823</v>
      </c>
      <c r="I4" s="515" t="s">
        <v>799</v>
      </c>
    </row>
    <row r="5" spans="2:9" ht="12.75">
      <c r="B5" s="174"/>
      <c r="C5" s="301"/>
      <c r="D5" s="303"/>
      <c r="E5" s="687"/>
      <c r="F5" s="687"/>
      <c r="G5" s="687"/>
      <c r="H5" s="750"/>
      <c r="I5" s="762"/>
    </row>
    <row r="6" spans="2:9" ht="12.75">
      <c r="B6" s="304" t="s">
        <v>5</v>
      </c>
      <c r="C6" s="305">
        <f aca="true" t="shared" si="0" ref="C6:I6">SUM(C8,C19)</f>
        <v>234263</v>
      </c>
      <c r="D6" s="306">
        <f t="shared" si="0"/>
        <v>5636</v>
      </c>
      <c r="E6" s="305">
        <f t="shared" si="0"/>
        <v>239899</v>
      </c>
      <c r="F6" s="305">
        <f t="shared" si="0"/>
        <v>-12187</v>
      </c>
      <c r="G6" s="305">
        <f t="shared" si="0"/>
        <v>227712</v>
      </c>
      <c r="H6" s="305">
        <f t="shared" si="0"/>
        <v>-2789</v>
      </c>
      <c r="I6" s="305">
        <f t="shared" si="0"/>
        <v>224923</v>
      </c>
    </row>
    <row r="7" spans="2:9" ht="12.75">
      <c r="B7" s="174"/>
      <c r="C7" s="301"/>
      <c r="D7" s="303"/>
      <c r="E7" s="301"/>
      <c r="F7" s="301"/>
      <c r="G7" s="301"/>
      <c r="H7" s="752"/>
      <c r="I7" s="762"/>
    </row>
    <row r="8" spans="1:9" s="300" customFormat="1" ht="12.75">
      <c r="A8" s="294"/>
      <c r="B8" s="304" t="s">
        <v>11</v>
      </c>
      <c r="C8" s="305">
        <f>SUM(C9:C11)</f>
        <v>24440</v>
      </c>
      <c r="D8" s="306">
        <f>SUM(D9:D14)</f>
        <v>24625</v>
      </c>
      <c r="E8" s="305">
        <f>SUM(E9:E14)</f>
        <v>49065</v>
      </c>
      <c r="F8" s="305">
        <f>SUM(F9:F15)</f>
        <v>773</v>
      </c>
      <c r="G8" s="305">
        <f>SUM(G9:G15)</f>
        <v>49838</v>
      </c>
      <c r="H8" s="305">
        <f>SUM(H9:H17)</f>
        <v>6130</v>
      </c>
      <c r="I8" s="305">
        <f>SUM(I9:I17)</f>
        <v>55968</v>
      </c>
    </row>
    <row r="9" spans="1:9" ht="12.75">
      <c r="A9" s="308" t="s">
        <v>49</v>
      </c>
      <c r="B9" s="174" t="s">
        <v>524</v>
      </c>
      <c r="C9" s="301">
        <v>6820</v>
      </c>
      <c r="D9" s="303"/>
      <c r="E9" s="301">
        <f aca="true" t="shared" si="1" ref="E9:E14">C9+D9</f>
        <v>6820</v>
      </c>
      <c r="F9" s="301"/>
      <c r="G9" s="301">
        <f>E9+F9</f>
        <v>6820</v>
      </c>
      <c r="H9" s="752"/>
      <c r="I9" s="762">
        <f>G9+H9</f>
        <v>6820</v>
      </c>
    </row>
    <row r="10" spans="1:9" ht="12.75">
      <c r="A10" s="308" t="s">
        <v>49</v>
      </c>
      <c r="B10" s="174" t="s">
        <v>96</v>
      </c>
      <c r="C10" s="301">
        <v>10000</v>
      </c>
      <c r="D10" s="303"/>
      <c r="E10" s="301">
        <f t="shared" si="1"/>
        <v>10000</v>
      </c>
      <c r="F10" s="301">
        <v>-229</v>
      </c>
      <c r="G10" s="301">
        <f aca="true" t="shared" si="2" ref="G10:G15">E10+F10</f>
        <v>9771</v>
      </c>
      <c r="H10" s="752">
        <f>-825-155</f>
        <v>-980</v>
      </c>
      <c r="I10" s="762">
        <f aca="true" t="shared" si="3" ref="I10:I17">G10+H10</f>
        <v>8791</v>
      </c>
    </row>
    <row r="11" spans="1:9" ht="12.75">
      <c r="A11" s="308" t="s">
        <v>120</v>
      </c>
      <c r="B11" s="174" t="s">
        <v>122</v>
      </c>
      <c r="C11" s="301">
        <v>7620</v>
      </c>
      <c r="D11" s="303"/>
      <c r="E11" s="301">
        <f t="shared" si="1"/>
        <v>7620</v>
      </c>
      <c r="F11" s="301"/>
      <c r="G11" s="301">
        <f t="shared" si="2"/>
        <v>7620</v>
      </c>
      <c r="H11" s="752"/>
      <c r="I11" s="762">
        <f t="shared" si="3"/>
        <v>7620</v>
      </c>
    </row>
    <row r="12" spans="1:9" ht="12.75">
      <c r="A12" s="308"/>
      <c r="B12" s="174" t="s">
        <v>684</v>
      </c>
      <c r="C12" s="301"/>
      <c r="D12" s="303">
        <v>15000</v>
      </c>
      <c r="E12" s="301">
        <f t="shared" si="1"/>
        <v>15000</v>
      </c>
      <c r="F12" s="301"/>
      <c r="G12" s="301">
        <f t="shared" si="2"/>
        <v>15000</v>
      </c>
      <c r="H12" s="752"/>
      <c r="I12" s="762">
        <f t="shared" si="3"/>
        <v>15000</v>
      </c>
    </row>
    <row r="13" spans="1:9" ht="25.5">
      <c r="A13" s="308"/>
      <c r="B13" s="174" t="s">
        <v>685</v>
      </c>
      <c r="C13" s="301"/>
      <c r="D13" s="303">
        <v>5000</v>
      </c>
      <c r="E13" s="301">
        <f t="shared" si="1"/>
        <v>5000</v>
      </c>
      <c r="F13" s="301">
        <v>-498</v>
      </c>
      <c r="G13" s="301">
        <f t="shared" si="2"/>
        <v>4502</v>
      </c>
      <c r="H13" s="752"/>
      <c r="I13" s="762">
        <f t="shared" si="3"/>
        <v>4502</v>
      </c>
    </row>
    <row r="14" spans="1:9" ht="38.25">
      <c r="A14" s="308"/>
      <c r="B14" s="174" t="s">
        <v>686</v>
      </c>
      <c r="C14" s="301"/>
      <c r="D14" s="303">
        <v>4625</v>
      </c>
      <c r="E14" s="301">
        <f t="shared" si="1"/>
        <v>4625</v>
      </c>
      <c r="F14" s="301"/>
      <c r="G14" s="301">
        <f t="shared" si="2"/>
        <v>4625</v>
      </c>
      <c r="H14" s="752"/>
      <c r="I14" s="762">
        <f t="shared" si="3"/>
        <v>4625</v>
      </c>
    </row>
    <row r="15" spans="1:9" ht="12.75">
      <c r="A15" s="308"/>
      <c r="B15" s="174" t="s">
        <v>781</v>
      </c>
      <c r="C15" s="301"/>
      <c r="D15" s="303"/>
      <c r="E15" s="301"/>
      <c r="F15" s="301">
        <v>1500</v>
      </c>
      <c r="G15" s="301">
        <f t="shared" si="2"/>
        <v>1500</v>
      </c>
      <c r="H15" s="752"/>
      <c r="I15" s="762">
        <f t="shared" si="3"/>
        <v>1500</v>
      </c>
    </row>
    <row r="16" spans="2:9" ht="12.75">
      <c r="B16" s="174" t="s">
        <v>836</v>
      </c>
      <c r="C16" s="301"/>
      <c r="D16" s="303"/>
      <c r="E16" s="301"/>
      <c r="F16" s="301"/>
      <c r="G16" s="301"/>
      <c r="H16" s="752">
        <v>2500</v>
      </c>
      <c r="I16" s="762">
        <f t="shared" si="3"/>
        <v>2500</v>
      </c>
    </row>
    <row r="17" spans="2:9" ht="12.75">
      <c r="B17" s="174" t="s">
        <v>837</v>
      </c>
      <c r="C17" s="301"/>
      <c r="D17" s="303"/>
      <c r="E17" s="301"/>
      <c r="F17" s="301"/>
      <c r="G17" s="301"/>
      <c r="H17" s="752">
        <f>4191+419</f>
        <v>4610</v>
      </c>
      <c r="I17" s="762">
        <f t="shared" si="3"/>
        <v>4610</v>
      </c>
    </row>
    <row r="18" spans="1:9" ht="12.75">
      <c r="A18" s="308" t="s">
        <v>17</v>
      </c>
      <c r="B18" s="174"/>
      <c r="C18" s="301"/>
      <c r="D18" s="303"/>
      <c r="E18" s="301"/>
      <c r="F18" s="301"/>
      <c r="G18" s="301"/>
      <c r="H18" s="752"/>
      <c r="I18" s="762"/>
    </row>
    <row r="19" spans="1:9" ht="12.75">
      <c r="A19" s="308" t="s">
        <v>49</v>
      </c>
      <c r="B19" s="304" t="s">
        <v>48</v>
      </c>
      <c r="C19" s="305">
        <f aca="true" t="shared" si="4" ref="C19:I19">SUM(C20:C60)</f>
        <v>209823</v>
      </c>
      <c r="D19" s="306">
        <f t="shared" si="4"/>
        <v>-18989</v>
      </c>
      <c r="E19" s="305">
        <f t="shared" si="4"/>
        <v>190834</v>
      </c>
      <c r="F19" s="305">
        <f t="shared" si="4"/>
        <v>-12960</v>
      </c>
      <c r="G19" s="305">
        <f t="shared" si="4"/>
        <v>177874</v>
      </c>
      <c r="H19" s="305">
        <f t="shared" si="4"/>
        <v>-8919</v>
      </c>
      <c r="I19" s="305">
        <f t="shared" si="4"/>
        <v>168955</v>
      </c>
    </row>
    <row r="20" spans="1:9" ht="12.75" customHeight="1">
      <c r="A20" s="308" t="s">
        <v>49</v>
      </c>
      <c r="B20" s="174" t="s">
        <v>80</v>
      </c>
      <c r="C20" s="301">
        <v>1016</v>
      </c>
      <c r="D20" s="303"/>
      <c r="E20" s="301">
        <f>C20+D20</f>
        <v>1016</v>
      </c>
      <c r="F20" s="301"/>
      <c r="G20" s="301">
        <f>E20+F20</f>
        <v>1016</v>
      </c>
      <c r="H20" s="752"/>
      <c r="I20" s="762">
        <f>G20+H20</f>
        <v>1016</v>
      </c>
    </row>
    <row r="21" spans="1:9" ht="12.75">
      <c r="A21" s="308" t="s">
        <v>49</v>
      </c>
      <c r="B21" s="174" t="s">
        <v>525</v>
      </c>
      <c r="C21" s="301">
        <v>6300</v>
      </c>
      <c r="D21" s="303"/>
      <c r="E21" s="301">
        <f aca="true" t="shared" si="5" ref="E21:E56">C21+D21</f>
        <v>6300</v>
      </c>
      <c r="F21" s="301"/>
      <c r="G21" s="301">
        <f aca="true" t="shared" si="6" ref="G21:G58">E21+F21</f>
        <v>6300</v>
      </c>
      <c r="H21" s="752"/>
      <c r="I21" s="762">
        <f aca="true" t="shared" si="7" ref="I21:I59">G21+H21</f>
        <v>6300</v>
      </c>
    </row>
    <row r="22" spans="1:9" ht="12.75">
      <c r="A22" s="308" t="s">
        <v>49</v>
      </c>
      <c r="B22" s="174" t="s">
        <v>82</v>
      </c>
      <c r="C22" s="301">
        <v>4953</v>
      </c>
      <c r="D22" s="303"/>
      <c r="E22" s="301">
        <f t="shared" si="5"/>
        <v>4953</v>
      </c>
      <c r="F22" s="301">
        <v>913</v>
      </c>
      <c r="G22" s="301">
        <f t="shared" si="6"/>
        <v>5866</v>
      </c>
      <c r="H22" s="752"/>
      <c r="I22" s="762">
        <f t="shared" si="7"/>
        <v>5866</v>
      </c>
    </row>
    <row r="23" spans="1:9" ht="12.75">
      <c r="A23" s="308" t="s">
        <v>49</v>
      </c>
      <c r="B23" s="174" t="s">
        <v>537</v>
      </c>
      <c r="C23" s="301">
        <v>16000</v>
      </c>
      <c r="D23" s="303"/>
      <c r="E23" s="301">
        <f t="shared" si="5"/>
        <v>16000</v>
      </c>
      <c r="F23" s="301">
        <f>-2195-1397</f>
        <v>-3592</v>
      </c>
      <c r="G23" s="301">
        <f t="shared" si="6"/>
        <v>12408</v>
      </c>
      <c r="H23" s="752"/>
      <c r="I23" s="762">
        <f t="shared" si="7"/>
        <v>12408</v>
      </c>
    </row>
    <row r="24" spans="1:9" ht="12.75">
      <c r="A24" s="308" t="s">
        <v>49</v>
      </c>
      <c r="B24" s="174" t="s">
        <v>88</v>
      </c>
      <c r="C24" s="301">
        <v>6350</v>
      </c>
      <c r="D24" s="303"/>
      <c r="E24" s="301">
        <f t="shared" si="5"/>
        <v>6350</v>
      </c>
      <c r="F24" s="301">
        <v>-96</v>
      </c>
      <c r="G24" s="301">
        <f t="shared" si="6"/>
        <v>6254</v>
      </c>
      <c r="H24" s="752"/>
      <c r="I24" s="762">
        <f t="shared" si="7"/>
        <v>6254</v>
      </c>
    </row>
    <row r="25" spans="1:9" ht="12.75">
      <c r="A25" s="308" t="s">
        <v>49</v>
      </c>
      <c r="B25" s="174" t="s">
        <v>94</v>
      </c>
      <c r="C25" s="301">
        <v>5000</v>
      </c>
      <c r="D25" s="303">
        <v>-675</v>
      </c>
      <c r="E25" s="301">
        <f t="shared" si="5"/>
        <v>4325</v>
      </c>
      <c r="F25" s="301">
        <f>-1500-24</f>
        <v>-1524</v>
      </c>
      <c r="G25" s="301">
        <f t="shared" si="6"/>
        <v>2801</v>
      </c>
      <c r="H25" s="752"/>
      <c r="I25" s="762">
        <f t="shared" si="7"/>
        <v>2801</v>
      </c>
    </row>
    <row r="26" spans="1:9" ht="12.75">
      <c r="A26" s="308" t="s">
        <v>49</v>
      </c>
      <c r="B26" s="174" t="s">
        <v>95</v>
      </c>
      <c r="C26" s="301">
        <v>10000</v>
      </c>
      <c r="D26" s="303"/>
      <c r="E26" s="301">
        <f t="shared" si="5"/>
        <v>10000</v>
      </c>
      <c r="F26" s="301"/>
      <c r="G26" s="301">
        <f t="shared" si="6"/>
        <v>10000</v>
      </c>
      <c r="H26" s="752"/>
      <c r="I26" s="762">
        <f t="shared" si="7"/>
        <v>10000</v>
      </c>
    </row>
    <row r="27" spans="1:9" ht="12.75">
      <c r="A27" s="308" t="s">
        <v>49</v>
      </c>
      <c r="B27" s="174" t="s">
        <v>97</v>
      </c>
      <c r="C27" s="301">
        <v>5000</v>
      </c>
      <c r="D27" s="303">
        <v>-5000</v>
      </c>
      <c r="E27" s="301">
        <f t="shared" si="5"/>
        <v>0</v>
      </c>
      <c r="F27" s="301"/>
      <c r="G27" s="301">
        <f t="shared" si="6"/>
        <v>0</v>
      </c>
      <c r="H27" s="752"/>
      <c r="I27" s="762">
        <f t="shared" si="7"/>
        <v>0</v>
      </c>
    </row>
    <row r="28" spans="1:9" ht="12.75">
      <c r="A28" s="308" t="s">
        <v>49</v>
      </c>
      <c r="B28" s="174" t="s">
        <v>533</v>
      </c>
      <c r="C28" s="301">
        <v>850</v>
      </c>
      <c r="D28" s="303"/>
      <c r="E28" s="301">
        <f t="shared" si="5"/>
        <v>850</v>
      </c>
      <c r="F28" s="301"/>
      <c r="G28" s="301">
        <f t="shared" si="6"/>
        <v>850</v>
      </c>
      <c r="H28" s="752"/>
      <c r="I28" s="762">
        <f t="shared" si="7"/>
        <v>850</v>
      </c>
    </row>
    <row r="29" spans="1:9" ht="12.75">
      <c r="A29" s="308" t="s">
        <v>57</v>
      </c>
      <c r="B29" s="174" t="s">
        <v>98</v>
      </c>
      <c r="C29" s="301">
        <v>421</v>
      </c>
      <c r="D29" s="303"/>
      <c r="E29" s="301">
        <f t="shared" si="5"/>
        <v>421</v>
      </c>
      <c r="F29" s="301"/>
      <c r="G29" s="301">
        <f t="shared" si="6"/>
        <v>421</v>
      </c>
      <c r="H29" s="752"/>
      <c r="I29" s="762">
        <f t="shared" si="7"/>
        <v>421</v>
      </c>
    </row>
    <row r="30" spans="1:9" ht="12.75">
      <c r="A30" s="308" t="s">
        <v>57</v>
      </c>
      <c r="B30" s="174" t="s">
        <v>90</v>
      </c>
      <c r="C30" s="301">
        <v>10000</v>
      </c>
      <c r="D30" s="303">
        <v>-5000</v>
      </c>
      <c r="E30" s="301">
        <f t="shared" si="5"/>
        <v>5000</v>
      </c>
      <c r="F30" s="301">
        <f>-197-913-2703</f>
        <v>-3813</v>
      </c>
      <c r="G30" s="301">
        <f t="shared" si="6"/>
        <v>1187</v>
      </c>
      <c r="H30" s="752"/>
      <c r="I30" s="762">
        <f t="shared" si="7"/>
        <v>1187</v>
      </c>
    </row>
    <row r="31" spans="1:9" ht="25.5">
      <c r="A31" s="308" t="s">
        <v>57</v>
      </c>
      <c r="B31" s="174" t="s">
        <v>526</v>
      </c>
      <c r="C31" s="301">
        <v>10000</v>
      </c>
      <c r="D31" s="303"/>
      <c r="E31" s="301">
        <f t="shared" si="5"/>
        <v>10000</v>
      </c>
      <c r="F31" s="301"/>
      <c r="G31" s="301">
        <f t="shared" si="6"/>
        <v>10000</v>
      </c>
      <c r="H31" s="752">
        <v>-9600</v>
      </c>
      <c r="I31" s="762">
        <f t="shared" si="7"/>
        <v>400</v>
      </c>
    </row>
    <row r="32" spans="1:9" ht="12.75">
      <c r="A32" s="308" t="s">
        <v>57</v>
      </c>
      <c r="B32" s="174" t="s">
        <v>110</v>
      </c>
      <c r="C32" s="301"/>
      <c r="D32" s="303"/>
      <c r="E32" s="301">
        <f t="shared" si="5"/>
        <v>0</v>
      </c>
      <c r="F32" s="301"/>
      <c r="G32" s="301">
        <f t="shared" si="6"/>
        <v>0</v>
      </c>
      <c r="H32" s="752"/>
      <c r="I32" s="762">
        <f t="shared" si="7"/>
        <v>0</v>
      </c>
    </row>
    <row r="33" spans="1:9" ht="12.75">
      <c r="A33" s="308" t="s">
        <v>57</v>
      </c>
      <c r="B33" s="174" t="s">
        <v>519</v>
      </c>
      <c r="C33" s="301">
        <v>9000</v>
      </c>
      <c r="D33" s="303"/>
      <c r="E33" s="301">
        <f t="shared" si="5"/>
        <v>9000</v>
      </c>
      <c r="F33" s="301"/>
      <c r="G33" s="301">
        <f t="shared" si="6"/>
        <v>9000</v>
      </c>
      <c r="H33" s="752"/>
      <c r="I33" s="762">
        <f t="shared" si="7"/>
        <v>9000</v>
      </c>
    </row>
    <row r="34" spans="1:9" ht="12.75">
      <c r="A34" s="308" t="s">
        <v>57</v>
      </c>
      <c r="B34" s="174" t="s">
        <v>111</v>
      </c>
      <c r="C34" s="301">
        <v>6350</v>
      </c>
      <c r="D34" s="303"/>
      <c r="E34" s="301">
        <f t="shared" si="5"/>
        <v>6350</v>
      </c>
      <c r="F34" s="301"/>
      <c r="G34" s="301">
        <f t="shared" si="6"/>
        <v>6350</v>
      </c>
      <c r="H34" s="752"/>
      <c r="I34" s="762">
        <f t="shared" si="7"/>
        <v>6350</v>
      </c>
    </row>
    <row r="35" spans="1:9" ht="12.75">
      <c r="A35" s="308" t="s">
        <v>57</v>
      </c>
      <c r="B35" s="174" t="s">
        <v>112</v>
      </c>
      <c r="C35" s="301"/>
      <c r="D35" s="303"/>
      <c r="E35" s="301">
        <f t="shared" si="5"/>
        <v>0</v>
      </c>
      <c r="F35" s="301"/>
      <c r="G35" s="301">
        <f t="shared" si="6"/>
        <v>0</v>
      </c>
      <c r="H35" s="752"/>
      <c r="I35" s="762">
        <f t="shared" si="7"/>
        <v>0</v>
      </c>
    </row>
    <row r="36" spans="1:9" ht="12.75">
      <c r="A36" s="308" t="s">
        <v>57</v>
      </c>
      <c r="B36" s="174" t="s">
        <v>89</v>
      </c>
      <c r="C36" s="301">
        <v>17969</v>
      </c>
      <c r="D36" s="303"/>
      <c r="E36" s="301">
        <f t="shared" si="5"/>
        <v>17969</v>
      </c>
      <c r="F36" s="301"/>
      <c r="G36" s="301">
        <f t="shared" si="6"/>
        <v>17969</v>
      </c>
      <c r="H36" s="752"/>
      <c r="I36" s="762">
        <f t="shared" si="7"/>
        <v>17969</v>
      </c>
    </row>
    <row r="37" spans="1:9" ht="12.75">
      <c r="A37" s="308" t="s">
        <v>57</v>
      </c>
      <c r="B37" s="174" t="s">
        <v>113</v>
      </c>
      <c r="C37" s="301">
        <v>1000</v>
      </c>
      <c r="D37" s="303"/>
      <c r="E37" s="301">
        <f t="shared" si="5"/>
        <v>1000</v>
      </c>
      <c r="F37" s="301"/>
      <c r="G37" s="301">
        <f t="shared" si="6"/>
        <v>1000</v>
      </c>
      <c r="H37" s="752">
        <v>-1000</v>
      </c>
      <c r="I37" s="762">
        <f t="shared" si="7"/>
        <v>0</v>
      </c>
    </row>
    <row r="38" spans="1:9" ht="12.75">
      <c r="A38" s="308" t="s">
        <v>57</v>
      </c>
      <c r="B38" s="174" t="s">
        <v>114</v>
      </c>
      <c r="C38" s="301">
        <v>6350</v>
      </c>
      <c r="D38" s="303"/>
      <c r="E38" s="301">
        <f t="shared" si="5"/>
        <v>6350</v>
      </c>
      <c r="F38" s="301"/>
      <c r="G38" s="301">
        <f t="shared" si="6"/>
        <v>6350</v>
      </c>
      <c r="H38" s="752"/>
      <c r="I38" s="762">
        <f t="shared" si="7"/>
        <v>6350</v>
      </c>
    </row>
    <row r="39" spans="1:9" ht="25.5">
      <c r="A39" s="308" t="s">
        <v>116</v>
      </c>
      <c r="B39" s="174" t="s">
        <v>527</v>
      </c>
      <c r="C39" s="301">
        <v>3810</v>
      </c>
      <c r="D39" s="303"/>
      <c r="E39" s="301">
        <f t="shared" si="5"/>
        <v>3810</v>
      </c>
      <c r="F39" s="301"/>
      <c r="G39" s="301">
        <f t="shared" si="6"/>
        <v>3810</v>
      </c>
      <c r="H39" s="752"/>
      <c r="I39" s="762">
        <f t="shared" si="7"/>
        <v>3810</v>
      </c>
    </row>
    <row r="40" spans="1:9" ht="25.5">
      <c r="A40" s="308" t="s">
        <v>116</v>
      </c>
      <c r="B40" s="174" t="s">
        <v>115</v>
      </c>
      <c r="C40" s="301">
        <v>8890</v>
      </c>
      <c r="D40" s="303"/>
      <c r="E40" s="301">
        <f t="shared" si="5"/>
        <v>8890</v>
      </c>
      <c r="F40" s="301"/>
      <c r="G40" s="301">
        <f t="shared" si="6"/>
        <v>8890</v>
      </c>
      <c r="H40" s="752"/>
      <c r="I40" s="762">
        <f t="shared" si="7"/>
        <v>8890</v>
      </c>
    </row>
    <row r="41" spans="1:9" ht="12.75">
      <c r="A41" s="308" t="s">
        <v>69</v>
      </c>
      <c r="B41" s="174" t="s">
        <v>528</v>
      </c>
      <c r="C41" s="301">
        <v>17145</v>
      </c>
      <c r="D41" s="303">
        <v>6346</v>
      </c>
      <c r="E41" s="301">
        <f t="shared" si="5"/>
        <v>23491</v>
      </c>
      <c r="F41" s="301"/>
      <c r="G41" s="301">
        <f t="shared" si="6"/>
        <v>23491</v>
      </c>
      <c r="H41" s="752"/>
      <c r="I41" s="762">
        <f t="shared" si="7"/>
        <v>23491</v>
      </c>
    </row>
    <row r="42" spans="1:9" ht="12.75">
      <c r="A42" s="308" t="s">
        <v>69</v>
      </c>
      <c r="B42" s="174" t="s">
        <v>117</v>
      </c>
      <c r="C42" s="301">
        <v>9500</v>
      </c>
      <c r="D42" s="303">
        <v>-6346</v>
      </c>
      <c r="E42" s="301">
        <f t="shared" si="5"/>
        <v>3154</v>
      </c>
      <c r="F42" s="301">
        <v>-3000</v>
      </c>
      <c r="G42" s="301">
        <f t="shared" si="6"/>
        <v>154</v>
      </c>
      <c r="H42" s="752"/>
      <c r="I42" s="762">
        <f t="shared" si="7"/>
        <v>154</v>
      </c>
    </row>
    <row r="43" spans="1:9" ht="12.75">
      <c r="A43" s="308" t="s">
        <v>120</v>
      </c>
      <c r="B43" s="174" t="s">
        <v>118</v>
      </c>
      <c r="C43" s="301">
        <v>1219</v>
      </c>
      <c r="D43" s="303"/>
      <c r="E43" s="301">
        <f t="shared" si="5"/>
        <v>1219</v>
      </c>
      <c r="F43" s="301"/>
      <c r="G43" s="301">
        <f t="shared" si="6"/>
        <v>1219</v>
      </c>
      <c r="H43" s="752"/>
      <c r="I43" s="762">
        <f t="shared" si="7"/>
        <v>1219</v>
      </c>
    </row>
    <row r="44" spans="1:9" ht="12.75">
      <c r="A44" s="308" t="s">
        <v>120</v>
      </c>
      <c r="B44" s="174" t="s">
        <v>119</v>
      </c>
      <c r="C44" s="301">
        <v>5080</v>
      </c>
      <c r="D44" s="303"/>
      <c r="E44" s="301">
        <f t="shared" si="5"/>
        <v>5080</v>
      </c>
      <c r="F44" s="301">
        <v>-2000</v>
      </c>
      <c r="G44" s="301">
        <f t="shared" si="6"/>
        <v>3080</v>
      </c>
      <c r="H44" s="752"/>
      <c r="I44" s="762">
        <f t="shared" si="7"/>
        <v>3080</v>
      </c>
    </row>
    <row r="45" spans="1:9" ht="12.75">
      <c r="A45" s="308" t="s">
        <v>149</v>
      </c>
      <c r="B45" s="174" t="s">
        <v>121</v>
      </c>
      <c r="C45" s="301">
        <v>1905</v>
      </c>
      <c r="D45" s="303"/>
      <c r="E45" s="301">
        <f t="shared" si="5"/>
        <v>1905</v>
      </c>
      <c r="F45" s="301"/>
      <c r="G45" s="301">
        <f t="shared" si="6"/>
        <v>1905</v>
      </c>
      <c r="H45" s="752"/>
      <c r="I45" s="762">
        <f t="shared" si="7"/>
        <v>1905</v>
      </c>
    </row>
    <row r="46" spans="1:9" ht="51">
      <c r="A46" s="308" t="s">
        <v>49</v>
      </c>
      <c r="B46" s="174" t="s">
        <v>790</v>
      </c>
      <c r="C46" s="301">
        <v>12700</v>
      </c>
      <c r="D46" s="303">
        <v>-9520</v>
      </c>
      <c r="E46" s="301">
        <f t="shared" si="5"/>
        <v>3180</v>
      </c>
      <c r="F46" s="301"/>
      <c r="G46" s="301">
        <f t="shared" si="6"/>
        <v>3180</v>
      </c>
      <c r="H46" s="752"/>
      <c r="I46" s="762">
        <f t="shared" si="7"/>
        <v>3180</v>
      </c>
    </row>
    <row r="47" spans="1:9" ht="12.75">
      <c r="A47" s="308" t="s">
        <v>49</v>
      </c>
      <c r="B47" s="174" t="s">
        <v>791</v>
      </c>
      <c r="C47" s="301">
        <v>3445</v>
      </c>
      <c r="D47" s="303"/>
      <c r="E47" s="301">
        <f t="shared" si="5"/>
        <v>3445</v>
      </c>
      <c r="F47" s="301">
        <v>-3000</v>
      </c>
      <c r="G47" s="301">
        <f t="shared" si="6"/>
        <v>445</v>
      </c>
      <c r="H47" s="752">
        <v>942</v>
      </c>
      <c r="I47" s="762">
        <f t="shared" si="7"/>
        <v>1387</v>
      </c>
    </row>
    <row r="48" spans="1:9" ht="12.75">
      <c r="A48" s="308" t="s">
        <v>49</v>
      </c>
      <c r="B48" s="174" t="s">
        <v>529</v>
      </c>
      <c r="C48" s="301">
        <v>5000</v>
      </c>
      <c r="D48" s="303"/>
      <c r="E48" s="301">
        <f t="shared" si="5"/>
        <v>5000</v>
      </c>
      <c r="F48" s="301"/>
      <c r="G48" s="301">
        <f t="shared" si="6"/>
        <v>5000</v>
      </c>
      <c r="H48" s="752"/>
      <c r="I48" s="762">
        <f t="shared" si="7"/>
        <v>5000</v>
      </c>
    </row>
    <row r="49" spans="1:9" ht="12.75" customHeight="1">
      <c r="A49" s="308" t="s">
        <v>49</v>
      </c>
      <c r="B49" s="174" t="s">
        <v>123</v>
      </c>
      <c r="C49" s="301">
        <v>5000</v>
      </c>
      <c r="D49" s="303"/>
      <c r="E49" s="301">
        <f t="shared" si="5"/>
        <v>5000</v>
      </c>
      <c r="F49" s="301">
        <v>-445</v>
      </c>
      <c r="G49" s="301">
        <f t="shared" si="6"/>
        <v>4555</v>
      </c>
      <c r="H49" s="752"/>
      <c r="I49" s="762">
        <f t="shared" si="7"/>
        <v>4555</v>
      </c>
    </row>
    <row r="50" spans="1:9" ht="12.75">
      <c r="A50" s="308" t="s">
        <v>69</v>
      </c>
      <c r="B50" s="174" t="s">
        <v>124</v>
      </c>
      <c r="C50" s="301">
        <v>1650</v>
      </c>
      <c r="D50" s="303"/>
      <c r="E50" s="301">
        <f t="shared" si="5"/>
        <v>1650</v>
      </c>
      <c r="F50" s="301"/>
      <c r="G50" s="301">
        <f t="shared" si="6"/>
        <v>1650</v>
      </c>
      <c r="H50" s="752">
        <v>552</v>
      </c>
      <c r="I50" s="762">
        <f t="shared" si="7"/>
        <v>2202</v>
      </c>
    </row>
    <row r="51" spans="1:9" ht="25.5">
      <c r="A51" s="308" t="s">
        <v>116</v>
      </c>
      <c r="B51" s="174" t="s">
        <v>530</v>
      </c>
      <c r="C51" s="301">
        <v>3000</v>
      </c>
      <c r="D51" s="303"/>
      <c r="E51" s="301">
        <f t="shared" si="5"/>
        <v>3000</v>
      </c>
      <c r="F51" s="301"/>
      <c r="G51" s="301">
        <f t="shared" si="6"/>
        <v>3000</v>
      </c>
      <c r="H51" s="752"/>
      <c r="I51" s="762">
        <f t="shared" si="7"/>
        <v>3000</v>
      </c>
    </row>
    <row r="52" spans="1:9" ht="12.75">
      <c r="A52" s="308" t="s">
        <v>116</v>
      </c>
      <c r="B52" s="174" t="s">
        <v>531</v>
      </c>
      <c r="C52" s="301">
        <v>4154</v>
      </c>
      <c r="D52" s="303"/>
      <c r="E52" s="301">
        <f t="shared" si="5"/>
        <v>4154</v>
      </c>
      <c r="F52" s="301"/>
      <c r="G52" s="301">
        <f t="shared" si="6"/>
        <v>4154</v>
      </c>
      <c r="H52" s="752"/>
      <c r="I52" s="762">
        <f t="shared" si="7"/>
        <v>4154</v>
      </c>
    </row>
    <row r="53" spans="1:9" ht="12.75">
      <c r="A53" s="308"/>
      <c r="B53" s="174" t="s">
        <v>125</v>
      </c>
      <c r="C53" s="301">
        <v>3239</v>
      </c>
      <c r="D53" s="303"/>
      <c r="E53" s="301">
        <f t="shared" si="5"/>
        <v>3239</v>
      </c>
      <c r="F53" s="301"/>
      <c r="G53" s="301">
        <f t="shared" si="6"/>
        <v>3239</v>
      </c>
      <c r="H53" s="752"/>
      <c r="I53" s="762">
        <f t="shared" si="7"/>
        <v>3239</v>
      </c>
    </row>
    <row r="54" spans="1:9" ht="12.75">
      <c r="A54" s="308" t="s">
        <v>57</v>
      </c>
      <c r="B54" s="174" t="s">
        <v>126</v>
      </c>
      <c r="C54" s="301">
        <v>736</v>
      </c>
      <c r="D54" s="303"/>
      <c r="E54" s="301">
        <f t="shared" si="5"/>
        <v>736</v>
      </c>
      <c r="F54" s="301"/>
      <c r="G54" s="301">
        <f t="shared" si="6"/>
        <v>736</v>
      </c>
      <c r="H54" s="752"/>
      <c r="I54" s="762">
        <f t="shared" si="7"/>
        <v>736</v>
      </c>
    </row>
    <row r="55" spans="1:9" ht="12.75">
      <c r="A55" s="308"/>
      <c r="B55" s="174" t="s">
        <v>676</v>
      </c>
      <c r="C55" s="301"/>
      <c r="D55" s="303">
        <v>1206</v>
      </c>
      <c r="E55" s="301">
        <f t="shared" si="5"/>
        <v>1206</v>
      </c>
      <c r="F55" s="301"/>
      <c r="G55" s="301">
        <f t="shared" si="6"/>
        <v>1206</v>
      </c>
      <c r="H55" s="752"/>
      <c r="I55" s="762">
        <f t="shared" si="7"/>
        <v>1206</v>
      </c>
    </row>
    <row r="56" spans="1:9" ht="12.75">
      <c r="A56" s="308"/>
      <c r="B56" s="174" t="s">
        <v>127</v>
      </c>
      <c r="C56" s="301">
        <v>6791</v>
      </c>
      <c r="D56" s="303"/>
      <c r="E56" s="301">
        <f t="shared" si="5"/>
        <v>6791</v>
      </c>
      <c r="F56" s="301"/>
      <c r="G56" s="301">
        <f t="shared" si="6"/>
        <v>6791</v>
      </c>
      <c r="H56" s="752"/>
      <c r="I56" s="762">
        <f t="shared" si="7"/>
        <v>6791</v>
      </c>
    </row>
    <row r="57" spans="1:9" ht="12.75">
      <c r="A57" s="308"/>
      <c r="B57" s="174" t="s">
        <v>782</v>
      </c>
      <c r="C57" s="301"/>
      <c r="D57" s="303"/>
      <c r="E57" s="301"/>
      <c r="F57" s="301">
        <v>474</v>
      </c>
      <c r="G57" s="301">
        <f t="shared" si="6"/>
        <v>474</v>
      </c>
      <c r="H57" s="752"/>
      <c r="I57" s="762">
        <f t="shared" si="7"/>
        <v>474</v>
      </c>
    </row>
    <row r="58" spans="1:9" s="300" customFormat="1" ht="12.75">
      <c r="A58" s="294"/>
      <c r="B58" s="174" t="s">
        <v>792</v>
      </c>
      <c r="C58" s="301"/>
      <c r="D58" s="303"/>
      <c r="E58" s="301"/>
      <c r="F58" s="301">
        <v>3123</v>
      </c>
      <c r="G58" s="301">
        <f t="shared" si="6"/>
        <v>3123</v>
      </c>
      <c r="H58" s="752"/>
      <c r="I58" s="762">
        <f t="shared" si="7"/>
        <v>3123</v>
      </c>
    </row>
    <row r="59" spans="1:9" s="309" customFormat="1" ht="12.75">
      <c r="A59" s="308"/>
      <c r="B59" s="174" t="s">
        <v>838</v>
      </c>
      <c r="C59" s="301"/>
      <c r="D59" s="303"/>
      <c r="E59" s="301"/>
      <c r="F59" s="301"/>
      <c r="G59" s="301"/>
      <c r="H59" s="752">
        <v>187</v>
      </c>
      <c r="I59" s="762">
        <f t="shared" si="7"/>
        <v>187</v>
      </c>
    </row>
    <row r="60" spans="1:9" s="309" customFormat="1" ht="12.75">
      <c r="A60" s="308"/>
      <c r="B60" s="174"/>
      <c r="C60" s="301"/>
      <c r="D60" s="303"/>
      <c r="E60" s="301"/>
      <c r="F60" s="301"/>
      <c r="G60" s="301"/>
      <c r="H60" s="752"/>
      <c r="I60" s="762"/>
    </row>
    <row r="61" spans="1:9" s="309" customFormat="1" ht="12.75">
      <c r="A61" s="308"/>
      <c r="B61" s="304" t="s">
        <v>13</v>
      </c>
      <c r="C61" s="305">
        <f>SUM(C62:C69)</f>
        <v>19664</v>
      </c>
      <c r="D61" s="306">
        <f aca="true" t="shared" si="8" ref="D61:I61">SUM(D62:D70)</f>
        <v>4200</v>
      </c>
      <c r="E61" s="305">
        <f t="shared" si="8"/>
        <v>23864</v>
      </c>
      <c r="F61" s="305">
        <f t="shared" si="8"/>
        <v>-4382</v>
      </c>
      <c r="G61" s="305">
        <f t="shared" si="8"/>
        <v>19482</v>
      </c>
      <c r="H61" s="305">
        <f t="shared" si="8"/>
        <v>-625</v>
      </c>
      <c r="I61" s="305">
        <f t="shared" si="8"/>
        <v>18857</v>
      </c>
    </row>
    <row r="62" spans="1:9" s="309" customFormat="1" ht="27" customHeight="1">
      <c r="A62" s="308"/>
      <c r="B62" s="174" t="s">
        <v>512</v>
      </c>
      <c r="C62" s="301">
        <v>2654</v>
      </c>
      <c r="D62" s="303"/>
      <c r="E62" s="301">
        <f>C62+D62</f>
        <v>2654</v>
      </c>
      <c r="F62" s="301">
        <v>118</v>
      </c>
      <c r="G62" s="301">
        <f>E62+F62</f>
        <v>2772</v>
      </c>
      <c r="H62" s="752"/>
      <c r="I62" s="763">
        <f>G62+H62</f>
        <v>2772</v>
      </c>
    </row>
    <row r="63" spans="1:9" s="309" customFormat="1" ht="12.75">
      <c r="A63" s="308"/>
      <c r="B63" s="174" t="s">
        <v>542</v>
      </c>
      <c r="C63" s="301">
        <v>1700</v>
      </c>
      <c r="D63" s="303"/>
      <c r="E63" s="301">
        <f aca="true" t="shared" si="9" ref="E63:E70">C63+D63</f>
        <v>1700</v>
      </c>
      <c r="F63" s="301"/>
      <c r="G63" s="301">
        <f aca="true" t="shared" si="10" ref="G63:G70">E63+F63</f>
        <v>1700</v>
      </c>
      <c r="H63" s="752"/>
      <c r="I63" s="763">
        <f aca="true" t="shared" si="11" ref="I63:I70">G63+H63</f>
        <v>1700</v>
      </c>
    </row>
    <row r="64" spans="1:9" s="309" customFormat="1" ht="25.5">
      <c r="A64" s="308"/>
      <c r="B64" s="174" t="s">
        <v>513</v>
      </c>
      <c r="C64" s="301">
        <f>6140+700</f>
        <v>6840</v>
      </c>
      <c r="D64" s="303">
        <v>-800</v>
      </c>
      <c r="E64" s="301">
        <f t="shared" si="9"/>
        <v>6040</v>
      </c>
      <c r="F64" s="301">
        <f>-3500-1000</f>
        <v>-4500</v>
      </c>
      <c r="G64" s="301">
        <f t="shared" si="10"/>
        <v>1540</v>
      </c>
      <c r="H64" s="752">
        <v>-900</v>
      </c>
      <c r="I64" s="763">
        <f t="shared" si="11"/>
        <v>640</v>
      </c>
    </row>
    <row r="65" spans="1:9" s="309" customFormat="1" ht="25.5">
      <c r="A65" s="308"/>
      <c r="B65" s="174" t="s">
        <v>662</v>
      </c>
      <c r="C65" s="301">
        <v>2700</v>
      </c>
      <c r="D65" s="303"/>
      <c r="E65" s="301">
        <f t="shared" si="9"/>
        <v>2700</v>
      </c>
      <c r="F65" s="301"/>
      <c r="G65" s="301">
        <f t="shared" si="10"/>
        <v>2700</v>
      </c>
      <c r="H65" s="752">
        <v>-475</v>
      </c>
      <c r="I65" s="763">
        <f t="shared" si="11"/>
        <v>2225</v>
      </c>
    </row>
    <row r="66" spans="1:9" s="309" customFormat="1" ht="25.5">
      <c r="A66" s="308"/>
      <c r="B66" s="174" t="s">
        <v>543</v>
      </c>
      <c r="C66" s="301">
        <v>3070</v>
      </c>
      <c r="D66" s="303"/>
      <c r="E66" s="301">
        <f t="shared" si="9"/>
        <v>3070</v>
      </c>
      <c r="F66" s="301"/>
      <c r="G66" s="301">
        <f t="shared" si="10"/>
        <v>3070</v>
      </c>
      <c r="H66" s="752">
        <v>-300</v>
      </c>
      <c r="I66" s="763">
        <f t="shared" si="11"/>
        <v>2770</v>
      </c>
    </row>
    <row r="67" spans="1:9" s="309" customFormat="1" ht="25.5">
      <c r="A67" s="308"/>
      <c r="B67" s="174" t="s">
        <v>514</v>
      </c>
      <c r="C67" s="301">
        <v>1000</v>
      </c>
      <c r="D67" s="303"/>
      <c r="E67" s="301">
        <f t="shared" si="9"/>
        <v>1000</v>
      </c>
      <c r="F67" s="301"/>
      <c r="G67" s="301">
        <f t="shared" si="10"/>
        <v>1000</v>
      </c>
      <c r="H67" s="752">
        <v>-1000</v>
      </c>
      <c r="I67" s="763">
        <f t="shared" si="11"/>
        <v>0</v>
      </c>
    </row>
    <row r="68" spans="2:9" ht="25.5">
      <c r="B68" s="174" t="s">
        <v>783</v>
      </c>
      <c r="C68" s="301">
        <v>1000</v>
      </c>
      <c r="D68" s="303"/>
      <c r="E68" s="301">
        <f t="shared" si="9"/>
        <v>1000</v>
      </c>
      <c r="F68" s="301"/>
      <c r="G68" s="301">
        <f t="shared" si="10"/>
        <v>1000</v>
      </c>
      <c r="H68" s="752">
        <v>-750</v>
      </c>
      <c r="I68" s="763">
        <f t="shared" si="11"/>
        <v>250</v>
      </c>
    </row>
    <row r="69" spans="1:9" s="322" customFormat="1" ht="12.75">
      <c r="A69" s="320"/>
      <c r="B69" s="174" t="s">
        <v>532</v>
      </c>
      <c r="C69" s="301">
        <v>700</v>
      </c>
      <c r="D69" s="303"/>
      <c r="E69" s="301">
        <f t="shared" si="9"/>
        <v>700</v>
      </c>
      <c r="F69" s="301"/>
      <c r="G69" s="301">
        <f t="shared" si="10"/>
        <v>700</v>
      </c>
      <c r="H69" s="752"/>
      <c r="I69" s="763">
        <f t="shared" si="11"/>
        <v>700</v>
      </c>
    </row>
    <row r="70" spans="2:9" ht="12.75">
      <c r="B70" s="174" t="s">
        <v>548</v>
      </c>
      <c r="C70" s="301"/>
      <c r="D70" s="303">
        <v>5000</v>
      </c>
      <c r="E70" s="301">
        <f t="shared" si="9"/>
        <v>5000</v>
      </c>
      <c r="F70" s="301"/>
      <c r="G70" s="301">
        <f t="shared" si="10"/>
        <v>5000</v>
      </c>
      <c r="H70" s="752">
        <f>35+2765</f>
        <v>2800</v>
      </c>
      <c r="I70" s="763">
        <f t="shared" si="11"/>
        <v>7800</v>
      </c>
    </row>
    <row r="71" spans="1:9" ht="12.75" customHeight="1">
      <c r="A71" s="308" t="s">
        <v>17</v>
      </c>
      <c r="B71" s="174"/>
      <c r="C71" s="301"/>
      <c r="D71" s="303"/>
      <c r="E71" s="301"/>
      <c r="F71" s="301"/>
      <c r="G71" s="301"/>
      <c r="H71" s="752"/>
      <c r="I71" s="762"/>
    </row>
    <row r="72" spans="1:9" ht="12.75" customHeight="1" thickBot="1">
      <c r="A72" s="308" t="s">
        <v>81</v>
      </c>
      <c r="B72" s="317" t="s">
        <v>15</v>
      </c>
      <c r="C72" s="318">
        <f aca="true" t="shared" si="12" ref="C72:I72">SUM(C6,C61)</f>
        <v>253927</v>
      </c>
      <c r="D72" s="319">
        <f t="shared" si="12"/>
        <v>9836</v>
      </c>
      <c r="E72" s="690">
        <f t="shared" si="12"/>
        <v>263763</v>
      </c>
      <c r="F72" s="690">
        <f t="shared" si="12"/>
        <v>-16569</v>
      </c>
      <c r="G72" s="690">
        <f t="shared" si="12"/>
        <v>247194</v>
      </c>
      <c r="H72" s="690">
        <f t="shared" si="12"/>
        <v>-3414</v>
      </c>
      <c r="I72" s="690">
        <f t="shared" si="12"/>
        <v>243780</v>
      </c>
    </row>
    <row r="73" spans="1:8" ht="12.75" customHeight="1">
      <c r="A73" s="308" t="s">
        <v>49</v>
      </c>
      <c r="B73" s="332"/>
      <c r="C73" s="330"/>
      <c r="D73" s="331"/>
      <c r="E73" s="327"/>
      <c r="F73" s="327"/>
      <c r="G73" s="327"/>
      <c r="H73" s="327"/>
    </row>
    <row r="74" spans="1:2" ht="12.75" customHeight="1" hidden="1">
      <c r="A74" s="308" t="s">
        <v>57</v>
      </c>
      <c r="B74" s="324">
        <f aca="true" t="shared" si="13" ref="B74:B81">SUMIF($A$8:$C$56,A74,$C$8:$C$56)</f>
        <v>61826</v>
      </c>
    </row>
    <row r="75" spans="1:2" ht="12.75" customHeight="1" hidden="1">
      <c r="A75" s="308" t="s">
        <v>116</v>
      </c>
      <c r="B75" s="324">
        <f t="shared" si="13"/>
        <v>19854</v>
      </c>
    </row>
    <row r="76" spans="1:2" ht="12.75" customHeight="1" hidden="1">
      <c r="A76" s="308" t="s">
        <v>69</v>
      </c>
      <c r="B76" s="324">
        <f t="shared" si="13"/>
        <v>28295</v>
      </c>
    </row>
    <row r="77" spans="1:2" ht="12.75" customHeight="1" hidden="1">
      <c r="A77" s="308" t="s">
        <v>120</v>
      </c>
      <c r="B77" s="324">
        <f t="shared" si="13"/>
        <v>13919</v>
      </c>
    </row>
    <row r="78" spans="1:2" ht="12.75" customHeight="1" hidden="1">
      <c r="A78" s="308" t="s">
        <v>149</v>
      </c>
      <c r="B78" s="324">
        <f t="shared" si="13"/>
        <v>1905</v>
      </c>
    </row>
    <row r="79" ht="12.75" customHeight="1" hidden="1">
      <c r="B79" s="324">
        <f t="shared" si="13"/>
        <v>0</v>
      </c>
    </row>
    <row r="80" ht="12.75" hidden="1">
      <c r="B80" s="324">
        <f t="shared" si="13"/>
        <v>0</v>
      </c>
    </row>
    <row r="81" ht="12.75" hidden="1">
      <c r="B81" s="324">
        <f t="shared" si="13"/>
        <v>0</v>
      </c>
    </row>
    <row r="82" ht="12.75" hidden="1">
      <c r="B82" s="324">
        <f>SUM(B74:B81)</f>
        <v>125799</v>
      </c>
    </row>
  </sheetData>
  <sheetProtection password="CC05" sheet="1"/>
  <mergeCells count="2">
    <mergeCell ref="B1:I1"/>
    <mergeCell ref="B2:I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5" r:id="rId1"/>
  <headerFooter alignWithMargins="0">
    <oddHeader>&amp;L9. melléklet a 28/2015.(XII.18.)  önkormányzati rendelethez
9. melléklet az 1/2015.(I.30.) önkormányzati rendelethez</oddHeader>
  </headerFooter>
  <rowBreaks count="1" manualBreakCount="1">
    <brk id="51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SheetLayoutView="100" workbookViewId="0" topLeftCell="A22">
      <selection activeCell="F31" sqref="F31"/>
    </sheetView>
  </sheetViews>
  <sheetFormatPr defaultColWidth="9.00390625" defaultRowHeight="12.75"/>
  <cols>
    <col min="1" max="1" width="59.375" style="0" customWidth="1"/>
    <col min="2" max="2" width="8.875" style="0" customWidth="1"/>
    <col min="3" max="4" width="8.625" style="0" customWidth="1"/>
    <col min="5" max="5" width="10.25390625" style="0" customWidth="1"/>
    <col min="6" max="6" width="9.625" style="136" customWidth="1"/>
  </cols>
  <sheetData>
    <row r="1" spans="1:5" ht="14.25" customHeight="1">
      <c r="A1" s="1247" t="s">
        <v>29</v>
      </c>
      <c r="B1" s="1247"/>
      <c r="C1" s="1247"/>
      <c r="D1" s="1247"/>
      <c r="E1" s="1247"/>
    </row>
    <row r="2" spans="1:5" ht="14.25" customHeight="1">
      <c r="A2" s="1247" t="s">
        <v>628</v>
      </c>
      <c r="B2" s="1247"/>
      <c r="C2" s="1247"/>
      <c r="D2" s="1247"/>
      <c r="E2" s="1247"/>
    </row>
    <row r="3" spans="1:4" ht="14.25" customHeight="1" thickBot="1">
      <c r="A3" s="1"/>
      <c r="B3" s="2"/>
      <c r="C3" s="2"/>
      <c r="D3" s="2"/>
    </row>
    <row r="4" spans="1:7" ht="63.75">
      <c r="A4" s="3" t="s">
        <v>629</v>
      </c>
      <c r="B4" s="4" t="s">
        <v>630</v>
      </c>
      <c r="C4" s="250" t="s">
        <v>733</v>
      </c>
      <c r="D4" s="250" t="s">
        <v>800</v>
      </c>
      <c r="E4" s="247" t="s">
        <v>631</v>
      </c>
      <c r="F4" s="652" t="s">
        <v>734</v>
      </c>
      <c r="G4" s="519" t="s">
        <v>801</v>
      </c>
    </row>
    <row r="5" spans="1:7" ht="14.25" customHeight="1">
      <c r="A5" s="7" t="s">
        <v>634</v>
      </c>
      <c r="B5" s="8">
        <v>1000</v>
      </c>
      <c r="C5" s="8">
        <v>1800</v>
      </c>
      <c r="D5" s="8">
        <v>1800</v>
      </c>
      <c r="E5" s="8"/>
      <c r="F5" s="646"/>
      <c r="G5" s="649"/>
    </row>
    <row r="6" spans="1:7" ht="14.25" customHeight="1">
      <c r="A6" s="7" t="s">
        <v>467</v>
      </c>
      <c r="B6" s="8">
        <v>2000</v>
      </c>
      <c r="C6" s="8">
        <v>2000</v>
      </c>
      <c r="D6" s="8">
        <v>2000</v>
      </c>
      <c r="E6" s="8"/>
      <c r="F6" s="646"/>
      <c r="G6" s="649"/>
    </row>
    <row r="7" spans="1:7" ht="14.25" customHeight="1">
      <c r="A7" s="7" t="s">
        <v>635</v>
      </c>
      <c r="B7" s="8">
        <v>300</v>
      </c>
      <c r="C7" s="8">
        <v>300</v>
      </c>
      <c r="D7" s="8">
        <v>300</v>
      </c>
      <c r="E7" s="8"/>
      <c r="F7" s="646"/>
      <c r="G7" s="649"/>
    </row>
    <row r="8" spans="1:7" ht="14.25" customHeight="1">
      <c r="A8" s="5" t="s">
        <v>632</v>
      </c>
      <c r="B8" s="8"/>
      <c r="C8" s="8"/>
      <c r="D8" s="8"/>
      <c r="E8" s="8">
        <v>6300</v>
      </c>
      <c r="F8" s="646">
        <v>6798</v>
      </c>
      <c r="G8" s="520">
        <v>6798</v>
      </c>
    </row>
    <row r="9" spans="1:7" ht="14.25" customHeight="1">
      <c r="A9" s="7" t="s">
        <v>653</v>
      </c>
      <c r="B9" s="8"/>
      <c r="C9" s="8"/>
      <c r="D9" s="8"/>
      <c r="E9" s="8">
        <v>2250</v>
      </c>
      <c r="F9" s="646">
        <v>1958</v>
      </c>
      <c r="G9" s="520">
        <v>1958</v>
      </c>
    </row>
    <row r="10" spans="1:7" ht="14.25" customHeight="1">
      <c r="A10" s="7" t="s">
        <v>643</v>
      </c>
      <c r="B10" s="8"/>
      <c r="C10" s="8"/>
      <c r="D10" s="8"/>
      <c r="E10" s="8">
        <v>900</v>
      </c>
      <c r="F10" s="646">
        <v>702</v>
      </c>
      <c r="G10" s="520">
        <v>702</v>
      </c>
    </row>
    <row r="11" spans="1:7" ht="14.25" customHeight="1">
      <c r="A11" s="7" t="s">
        <v>633</v>
      </c>
      <c r="B11" s="8"/>
      <c r="C11" s="8"/>
      <c r="D11" s="8"/>
      <c r="E11" s="8">
        <v>1175</v>
      </c>
      <c r="F11" s="646">
        <v>9047</v>
      </c>
      <c r="G11" s="520">
        <v>9047</v>
      </c>
    </row>
    <row r="12" spans="1:7" ht="14.25" customHeight="1">
      <c r="A12" s="7" t="s">
        <v>644</v>
      </c>
      <c r="B12" s="8"/>
      <c r="C12" s="8"/>
      <c r="D12" s="8"/>
      <c r="E12" s="8">
        <v>2076</v>
      </c>
      <c r="F12" s="646">
        <v>2616</v>
      </c>
      <c r="G12" s="520">
        <v>2616</v>
      </c>
    </row>
    <row r="13" spans="1:7" ht="14.25" customHeight="1">
      <c r="A13" s="7" t="s">
        <v>471</v>
      </c>
      <c r="B13" s="8">
        <v>100</v>
      </c>
      <c r="C13" s="8">
        <v>100</v>
      </c>
      <c r="D13" s="8">
        <v>100</v>
      </c>
      <c r="E13" s="8"/>
      <c r="F13" s="646"/>
      <c r="G13" s="649"/>
    </row>
    <row r="14" spans="1:7" ht="14.25" customHeight="1">
      <c r="A14" s="7" t="s">
        <v>468</v>
      </c>
      <c r="B14" s="8"/>
      <c r="C14" s="8"/>
      <c r="D14" s="8"/>
      <c r="E14" s="8"/>
      <c r="F14" s="646"/>
      <c r="G14" s="649"/>
    </row>
    <row r="15" spans="1:7" ht="14.25" customHeight="1">
      <c r="A15" s="7" t="s">
        <v>91</v>
      </c>
      <c r="B15" s="8">
        <v>15000</v>
      </c>
      <c r="C15" s="8">
        <v>11902</v>
      </c>
      <c r="D15" s="8">
        <v>11402</v>
      </c>
      <c r="E15" s="8"/>
      <c r="F15" s="646"/>
      <c r="G15" s="649"/>
    </row>
    <row r="16" spans="1:7" ht="27" customHeight="1">
      <c r="A16" s="7" t="s">
        <v>469</v>
      </c>
      <c r="B16" s="8">
        <v>10000</v>
      </c>
      <c r="C16" s="8">
        <v>2000</v>
      </c>
      <c r="D16" s="8">
        <v>2000</v>
      </c>
      <c r="E16" s="8"/>
      <c r="F16" s="646"/>
      <c r="G16" s="649"/>
    </row>
    <row r="17" spans="1:7" ht="14.25" customHeight="1">
      <c r="A17" s="7" t="s">
        <v>470</v>
      </c>
      <c r="B17" s="8">
        <v>2500</v>
      </c>
      <c r="C17" s="8">
        <v>2500</v>
      </c>
      <c r="D17" s="8">
        <v>2500</v>
      </c>
      <c r="E17" s="8"/>
      <c r="F17" s="646"/>
      <c r="G17" s="649"/>
    </row>
    <row r="18" spans="1:7" ht="14.25" customHeight="1">
      <c r="A18" s="694" t="s">
        <v>808</v>
      </c>
      <c r="B18" s="8">
        <v>5700</v>
      </c>
      <c r="C18" s="8">
        <v>7980</v>
      </c>
      <c r="D18" s="8">
        <v>7980</v>
      </c>
      <c r="E18" s="8"/>
      <c r="F18" s="646"/>
      <c r="G18" s="649"/>
    </row>
    <row r="19" spans="1:7" ht="14.25" customHeight="1">
      <c r="A19" s="694" t="s">
        <v>807</v>
      </c>
      <c r="B19" s="8"/>
      <c r="C19" s="8"/>
      <c r="D19" s="8">
        <v>29000</v>
      </c>
      <c r="E19" s="8"/>
      <c r="F19" s="646"/>
      <c r="G19" s="649"/>
    </row>
    <row r="20" spans="1:7" s="11" customFormat="1" ht="29.25" customHeight="1">
      <c r="A20" s="9" t="s">
        <v>636</v>
      </c>
      <c r="B20" s="10">
        <f>SUM(B5:B18)</f>
        <v>36600</v>
      </c>
      <c r="C20" s="10">
        <f>SUM(C5:C18)</f>
        <v>28582</v>
      </c>
      <c r="D20" s="10">
        <f>SUM(D5:D19)</f>
        <v>57082</v>
      </c>
      <c r="E20" s="10">
        <f>SUM(E5:E18)</f>
        <v>12701</v>
      </c>
      <c r="F20" s="647">
        <f>SUM(F5:F18)</f>
        <v>21121</v>
      </c>
      <c r="G20" s="714">
        <f>SUM(G5:G18)</f>
        <v>21121</v>
      </c>
    </row>
    <row r="21" spans="1:7" ht="14.25" customHeight="1">
      <c r="A21" s="12"/>
      <c r="B21" s="13"/>
      <c r="C21" s="13"/>
      <c r="D21" s="13"/>
      <c r="E21" s="8"/>
      <c r="F21" s="646"/>
      <c r="G21" s="649"/>
    </row>
    <row r="22" spans="1:7" ht="14.25" customHeight="1">
      <c r="A22" s="7" t="s">
        <v>637</v>
      </c>
      <c r="B22" s="8">
        <v>4000</v>
      </c>
      <c r="C22" s="8">
        <v>4000</v>
      </c>
      <c r="D22" s="8">
        <v>4000</v>
      </c>
      <c r="E22" s="8"/>
      <c r="F22" s="646"/>
      <c r="G22" s="649"/>
    </row>
    <row r="23" spans="1:7" ht="14.25" customHeight="1">
      <c r="A23" s="7" t="s">
        <v>638</v>
      </c>
      <c r="B23" s="8">
        <v>1000</v>
      </c>
      <c r="C23" s="8">
        <v>1601</v>
      </c>
      <c r="D23" s="8">
        <v>2101</v>
      </c>
      <c r="E23" s="8"/>
      <c r="F23" s="646"/>
      <c r="G23" s="649"/>
    </row>
    <row r="24" spans="1:7" ht="14.25" customHeight="1">
      <c r="A24" s="7" t="s">
        <v>639</v>
      </c>
      <c r="B24" s="8">
        <v>500</v>
      </c>
      <c r="C24" s="8">
        <v>646</v>
      </c>
      <c r="D24" s="8">
        <v>646</v>
      </c>
      <c r="E24" s="8"/>
      <c r="F24" s="646"/>
      <c r="G24" s="649"/>
    </row>
    <row r="25" spans="1:7" ht="14.25" customHeight="1">
      <c r="A25" s="7" t="s">
        <v>640</v>
      </c>
      <c r="B25" s="8">
        <v>3374</v>
      </c>
      <c r="C25" s="8">
        <v>7638</v>
      </c>
      <c r="D25" s="8">
        <v>7638</v>
      </c>
      <c r="E25" s="8"/>
      <c r="F25" s="646"/>
      <c r="G25" s="649"/>
    </row>
    <row r="26" spans="1:7" s="11" customFormat="1" ht="14.25" customHeight="1">
      <c r="A26" s="9" t="s">
        <v>641</v>
      </c>
      <c r="B26" s="10">
        <f>SUM(B22+B23+B24+B25)</f>
        <v>8874</v>
      </c>
      <c r="C26" s="10">
        <f>SUM(C22+C23+C24+C25)</f>
        <v>13885</v>
      </c>
      <c r="D26" s="10">
        <v>14385</v>
      </c>
      <c r="E26" s="10">
        <f>SUM(E22+E23+E24+E25)</f>
        <v>0</v>
      </c>
      <c r="F26" s="647">
        <f>SUM(F22+F23+F24+F25)</f>
        <v>0</v>
      </c>
      <c r="G26" s="714">
        <f>SUM(G22+G23+G24+G25)</f>
        <v>0</v>
      </c>
    </row>
    <row r="27" spans="1:7" ht="14.25" customHeight="1">
      <c r="A27" s="7"/>
      <c r="B27" s="8"/>
      <c r="C27" s="8"/>
      <c r="D27" s="8"/>
      <c r="E27" s="8"/>
      <c r="F27" s="646"/>
      <c r="G27" s="649"/>
    </row>
    <row r="28" spans="1:7" s="11" customFormat="1" ht="14.25" customHeight="1">
      <c r="A28" s="9" t="s">
        <v>642</v>
      </c>
      <c r="B28" s="10">
        <f aca="true" t="shared" si="0" ref="B28:G28">SUM(B20+B26)</f>
        <v>45474</v>
      </c>
      <c r="C28" s="10">
        <f t="shared" si="0"/>
        <v>42467</v>
      </c>
      <c r="D28" s="10">
        <f t="shared" si="0"/>
        <v>71467</v>
      </c>
      <c r="E28" s="10">
        <f t="shared" si="0"/>
        <v>12701</v>
      </c>
      <c r="F28" s="647">
        <f t="shared" si="0"/>
        <v>21121</v>
      </c>
      <c r="G28" s="714">
        <f t="shared" si="0"/>
        <v>21121</v>
      </c>
    </row>
    <row r="29" spans="1:7" ht="14.25" customHeight="1" thickBot="1">
      <c r="A29" s="248"/>
      <c r="B29" s="95"/>
      <c r="C29" s="95"/>
      <c r="D29" s="95"/>
      <c r="E29" s="249"/>
      <c r="F29" s="648"/>
      <c r="G29" s="651"/>
    </row>
    <row r="30" ht="14.25" customHeight="1"/>
    <row r="31" spans="1:5" ht="14.25" customHeight="1">
      <c r="A31" s="1247" t="s">
        <v>28</v>
      </c>
      <c r="B31" s="1247"/>
      <c r="C31" s="1247"/>
      <c r="D31" s="1247"/>
      <c r="E31" s="1247"/>
    </row>
    <row r="32" spans="1:5" ht="14.25" customHeight="1">
      <c r="A32" s="1247" t="s">
        <v>628</v>
      </c>
      <c r="B32" s="1247"/>
      <c r="C32" s="1247"/>
      <c r="D32" s="1247"/>
      <c r="E32" s="1247"/>
    </row>
    <row r="33" spans="1:4" ht="14.25" customHeight="1" thickBot="1">
      <c r="A33" s="1"/>
      <c r="B33" s="2"/>
      <c r="C33" s="2"/>
      <c r="D33" s="2"/>
    </row>
    <row r="34" spans="1:7" ht="63.75">
      <c r="A34" s="3" t="s">
        <v>629</v>
      </c>
      <c r="B34" s="4" t="s">
        <v>630</v>
      </c>
      <c r="C34" s="250" t="s">
        <v>733</v>
      </c>
      <c r="D34" s="250" t="s">
        <v>800</v>
      </c>
      <c r="E34" s="247" t="s">
        <v>631</v>
      </c>
      <c r="F34" s="652" t="s">
        <v>734</v>
      </c>
      <c r="G34" s="519" t="s">
        <v>801</v>
      </c>
    </row>
    <row r="35" spans="1:7" ht="14.25" customHeight="1">
      <c r="A35" s="16" t="s">
        <v>645</v>
      </c>
      <c r="B35" s="17"/>
      <c r="C35" s="17"/>
      <c r="D35" s="17"/>
      <c r="E35" s="227"/>
      <c r="F35" s="646"/>
      <c r="G35" s="649"/>
    </row>
    <row r="36" spans="1:7" ht="14.25" customHeight="1">
      <c r="A36" s="5" t="s">
        <v>632</v>
      </c>
      <c r="B36" s="6">
        <v>7000</v>
      </c>
      <c r="C36" s="6">
        <v>7553</v>
      </c>
      <c r="D36" s="6">
        <v>7553</v>
      </c>
      <c r="E36" s="8"/>
      <c r="F36" s="646"/>
      <c r="G36" s="649"/>
    </row>
    <row r="37" spans="1:7" ht="14.25" customHeight="1">
      <c r="A37" s="7" t="s">
        <v>653</v>
      </c>
      <c r="B37" s="8">
        <v>2500</v>
      </c>
      <c r="C37" s="8">
        <v>2175</v>
      </c>
      <c r="D37" s="8">
        <v>2175</v>
      </c>
      <c r="E37" s="8"/>
      <c r="F37" s="646"/>
      <c r="G37" s="649"/>
    </row>
    <row r="38" spans="1:7" ht="14.25" customHeight="1">
      <c r="A38" s="7" t="s">
        <v>643</v>
      </c>
      <c r="B38" s="8">
        <v>1000</v>
      </c>
      <c r="C38" s="8">
        <v>780</v>
      </c>
      <c r="D38" s="8">
        <v>780</v>
      </c>
      <c r="E38" s="8"/>
      <c r="F38" s="646"/>
      <c r="G38" s="649"/>
    </row>
    <row r="39" spans="1:7" ht="14.25" customHeight="1">
      <c r="A39" s="7" t="s">
        <v>633</v>
      </c>
      <c r="B39" s="8">
        <v>1305</v>
      </c>
      <c r="C39" s="8">
        <v>10052</v>
      </c>
      <c r="D39" s="8">
        <v>10052</v>
      </c>
      <c r="E39" s="8"/>
      <c r="F39" s="646"/>
      <c r="G39" s="649"/>
    </row>
    <row r="40" spans="1:7" ht="14.25" customHeight="1">
      <c r="A40" s="7" t="s">
        <v>644</v>
      </c>
      <c r="B40" s="8">
        <v>2307</v>
      </c>
      <c r="C40" s="8">
        <v>2639</v>
      </c>
      <c r="D40" s="8">
        <v>2639</v>
      </c>
      <c r="E40" s="8"/>
      <c r="F40" s="646"/>
      <c r="G40" s="649"/>
    </row>
    <row r="41" spans="1:7" ht="14.25" customHeight="1">
      <c r="A41" s="7" t="s">
        <v>669</v>
      </c>
      <c r="B41" s="8">
        <v>0</v>
      </c>
      <c r="C41" s="8">
        <v>288</v>
      </c>
      <c r="D41" s="8">
        <v>288</v>
      </c>
      <c r="E41" s="8"/>
      <c r="F41" s="646"/>
      <c r="G41" s="649"/>
    </row>
    <row r="42" spans="1:7" ht="14.25" customHeight="1">
      <c r="A42" s="7" t="s">
        <v>670</v>
      </c>
      <c r="B42" s="8">
        <v>0</v>
      </c>
      <c r="C42" s="8">
        <v>3463</v>
      </c>
      <c r="D42" s="8">
        <v>6844</v>
      </c>
      <c r="E42" s="8"/>
      <c r="F42" s="646"/>
      <c r="G42" s="649"/>
    </row>
    <row r="43" spans="1:7" s="11" customFormat="1" ht="14.25" customHeight="1">
      <c r="A43" s="9" t="s">
        <v>646</v>
      </c>
      <c r="B43" s="10">
        <f>SUM(B36:B42)</f>
        <v>14112</v>
      </c>
      <c r="C43" s="10">
        <f>SUM(C36:C42)</f>
        <v>26950</v>
      </c>
      <c r="D43" s="10">
        <f>SUM(D36:D42)</f>
        <v>30331</v>
      </c>
      <c r="E43" s="10">
        <f>SUM(E36:E40)</f>
        <v>0</v>
      </c>
      <c r="F43" s="647">
        <f>SUM(F36:F40)</f>
        <v>0</v>
      </c>
      <c r="G43" s="714">
        <f>SUM(G36:G40)</f>
        <v>0</v>
      </c>
    </row>
    <row r="44" spans="1:7" ht="14.25" customHeight="1">
      <c r="A44" s="7"/>
      <c r="B44" s="8"/>
      <c r="C44" s="8"/>
      <c r="D44" s="8"/>
      <c r="E44" s="8"/>
      <c r="F44" s="646"/>
      <c r="G44" s="649"/>
    </row>
    <row r="45" spans="1:7" s="11" customFormat="1" ht="14.25" customHeight="1">
      <c r="A45" s="9" t="s">
        <v>649</v>
      </c>
      <c r="B45" s="10"/>
      <c r="C45" s="10"/>
      <c r="D45" s="10"/>
      <c r="E45" s="10"/>
      <c r="F45" s="653"/>
      <c r="G45" s="650"/>
    </row>
    <row r="46" spans="1:7" s="18" customFormat="1" ht="14.25" customHeight="1">
      <c r="A46" s="7" t="s">
        <v>653</v>
      </c>
      <c r="B46" s="8">
        <v>165</v>
      </c>
      <c r="C46" s="8">
        <v>165</v>
      </c>
      <c r="D46" s="8">
        <v>165</v>
      </c>
      <c r="E46" s="8"/>
      <c r="F46" s="646"/>
      <c r="G46" s="655"/>
    </row>
    <row r="47" spans="1:7" s="18" customFormat="1" ht="14.25" customHeight="1">
      <c r="A47" s="7" t="s">
        <v>633</v>
      </c>
      <c r="B47" s="8">
        <v>598</v>
      </c>
      <c r="C47" s="8">
        <v>620</v>
      </c>
      <c r="D47" s="8">
        <v>720</v>
      </c>
      <c r="E47" s="8"/>
      <c r="F47" s="646"/>
      <c r="G47" s="655"/>
    </row>
    <row r="48" spans="1:7" s="18" customFormat="1" ht="14.25" customHeight="1">
      <c r="A48" s="7" t="s">
        <v>632</v>
      </c>
      <c r="B48" s="8">
        <v>700</v>
      </c>
      <c r="C48" s="8">
        <v>1009</v>
      </c>
      <c r="D48" s="8">
        <v>1009</v>
      </c>
      <c r="E48" s="8"/>
      <c r="F48" s="646"/>
      <c r="G48" s="655"/>
    </row>
    <row r="49" spans="1:7" s="11" customFormat="1" ht="14.25" customHeight="1">
      <c r="A49" s="9" t="s">
        <v>650</v>
      </c>
      <c r="B49" s="10">
        <f>SUM(B46:B48)</f>
        <v>1463</v>
      </c>
      <c r="C49" s="10">
        <f>SUM(C46:C48)</f>
        <v>1794</v>
      </c>
      <c r="D49" s="10">
        <f>SUM(D46:D48)</f>
        <v>1894</v>
      </c>
      <c r="E49" s="10">
        <f>SUM(E48)</f>
        <v>0</v>
      </c>
      <c r="F49" s="647">
        <f>SUM(F48)</f>
        <v>0</v>
      </c>
      <c r="G49" s="714">
        <f>SUM(G48)</f>
        <v>0</v>
      </c>
    </row>
    <row r="50" spans="1:7" ht="14.25" customHeight="1">
      <c r="A50" s="7"/>
      <c r="B50" s="8"/>
      <c r="C50" s="8"/>
      <c r="D50" s="8"/>
      <c r="E50" s="8"/>
      <c r="F50" s="646"/>
      <c r="G50" s="649"/>
    </row>
    <row r="51" spans="1:7" s="11" customFormat="1" ht="14.25" customHeight="1">
      <c r="A51" s="9" t="s">
        <v>647</v>
      </c>
      <c r="B51" s="10"/>
      <c r="C51" s="10"/>
      <c r="D51" s="10"/>
      <c r="E51" s="10"/>
      <c r="F51" s="653"/>
      <c r="G51" s="650"/>
    </row>
    <row r="52" spans="1:7" s="18" customFormat="1" ht="14.25" customHeight="1">
      <c r="A52" s="7" t="s">
        <v>653</v>
      </c>
      <c r="B52" s="8">
        <v>142</v>
      </c>
      <c r="C52" s="8">
        <v>77</v>
      </c>
      <c r="D52" s="8">
        <v>77</v>
      </c>
      <c r="E52" s="8"/>
      <c r="F52" s="646"/>
      <c r="G52" s="655"/>
    </row>
    <row r="53" spans="1:7" s="18" customFormat="1" ht="14.25" customHeight="1">
      <c r="A53" s="7" t="s">
        <v>633</v>
      </c>
      <c r="B53" s="8">
        <v>124</v>
      </c>
      <c r="C53" s="8">
        <v>282</v>
      </c>
      <c r="D53" s="8">
        <v>282</v>
      </c>
      <c r="E53" s="8"/>
      <c r="F53" s="646"/>
      <c r="G53" s="655"/>
    </row>
    <row r="54" spans="1:7" s="18" customFormat="1" ht="14.25" customHeight="1">
      <c r="A54" s="7" t="s">
        <v>632</v>
      </c>
      <c r="B54" s="8">
        <v>434</v>
      </c>
      <c r="C54" s="8">
        <v>646</v>
      </c>
      <c r="D54" s="8">
        <v>646</v>
      </c>
      <c r="E54" s="8"/>
      <c r="F54" s="646"/>
      <c r="G54" s="655"/>
    </row>
    <row r="55" spans="1:7" s="11" customFormat="1" ht="14.25" customHeight="1">
      <c r="A55" s="9" t="s">
        <v>648</v>
      </c>
      <c r="B55" s="10">
        <f>SUM(B52:B54)</f>
        <v>700</v>
      </c>
      <c r="C55" s="10">
        <f>SUM(C52:C54)</f>
        <v>1005</v>
      </c>
      <c r="D55" s="10">
        <f>SUM(D52:D54)</f>
        <v>1005</v>
      </c>
      <c r="E55" s="10">
        <f>SUM(E54)</f>
        <v>0</v>
      </c>
      <c r="F55" s="647">
        <f>SUM(F54)</f>
        <v>0</v>
      </c>
      <c r="G55" s="714">
        <f>SUM(G54)</f>
        <v>0</v>
      </c>
    </row>
    <row r="56" spans="1:7" ht="14.25" customHeight="1">
      <c r="A56" s="7"/>
      <c r="B56" s="8"/>
      <c r="C56" s="8"/>
      <c r="D56" s="8"/>
      <c r="E56" s="8"/>
      <c r="F56" s="646"/>
      <c r="G56" s="649"/>
    </row>
    <row r="57" spans="1:7" s="11" customFormat="1" ht="14.25" customHeight="1">
      <c r="A57" s="9" t="s">
        <v>651</v>
      </c>
      <c r="B57" s="10"/>
      <c r="C57" s="10"/>
      <c r="D57" s="10"/>
      <c r="E57" s="10"/>
      <c r="F57" s="653"/>
      <c r="G57" s="650"/>
    </row>
    <row r="58" spans="1:7" s="18" customFormat="1" ht="14.25" customHeight="1">
      <c r="A58" s="7" t="s">
        <v>644</v>
      </c>
      <c r="B58" s="8">
        <v>200</v>
      </c>
      <c r="C58" s="8">
        <v>0</v>
      </c>
      <c r="D58" s="8">
        <v>0</v>
      </c>
      <c r="E58" s="8"/>
      <c r="F58" s="646"/>
      <c r="G58" s="655"/>
    </row>
    <row r="59" spans="1:7" s="18" customFormat="1" ht="14.25" customHeight="1">
      <c r="A59" s="7" t="s">
        <v>633</v>
      </c>
      <c r="B59" s="8">
        <v>28</v>
      </c>
      <c r="C59" s="8">
        <v>0</v>
      </c>
      <c r="D59" s="8">
        <v>0</v>
      </c>
      <c r="E59" s="8"/>
      <c r="F59" s="646"/>
      <c r="G59" s="655"/>
    </row>
    <row r="60" spans="1:7" s="18" customFormat="1" ht="14.25" customHeight="1">
      <c r="A60" s="7" t="s">
        <v>632</v>
      </c>
      <c r="B60" s="8">
        <v>274</v>
      </c>
      <c r="C60" s="8">
        <v>68</v>
      </c>
      <c r="D60" s="8">
        <v>68</v>
      </c>
      <c r="E60" s="8"/>
      <c r="F60" s="646"/>
      <c r="G60" s="655"/>
    </row>
    <row r="61" spans="1:7" s="11" customFormat="1" ht="14.25" customHeight="1">
      <c r="A61" s="9" t="s">
        <v>652</v>
      </c>
      <c r="B61" s="10">
        <f>SUM(B58:B60)</f>
        <v>502</v>
      </c>
      <c r="C61" s="10">
        <f>SUM(C58:C60)</f>
        <v>68</v>
      </c>
      <c r="D61" s="10">
        <f>SUM(D58:D60)</f>
        <v>68</v>
      </c>
      <c r="E61" s="10">
        <f>SUM(E59)</f>
        <v>0</v>
      </c>
      <c r="F61" s="647">
        <f>SUM(F59)</f>
        <v>0</v>
      </c>
      <c r="G61" s="714">
        <f>SUM(G59)</f>
        <v>0</v>
      </c>
    </row>
    <row r="62" spans="1:7" ht="14.25" customHeight="1">
      <c r="A62" s="7"/>
      <c r="B62" s="8"/>
      <c r="C62" s="8"/>
      <c r="D62" s="8"/>
      <c r="E62" s="8"/>
      <c r="F62" s="646"/>
      <c r="G62" s="649"/>
    </row>
    <row r="63" spans="1:7" ht="14.25" customHeight="1" thickBot="1">
      <c r="A63" s="14" t="s">
        <v>636</v>
      </c>
      <c r="B63" s="15">
        <f aca="true" t="shared" si="1" ref="B63:G63">SUM(B43,B49,B55,B61)</f>
        <v>16777</v>
      </c>
      <c r="C63" s="15">
        <f t="shared" si="1"/>
        <v>29817</v>
      </c>
      <c r="D63" s="15">
        <f t="shared" si="1"/>
        <v>33298</v>
      </c>
      <c r="E63" s="15">
        <f t="shared" si="1"/>
        <v>0</v>
      </c>
      <c r="F63" s="654">
        <f t="shared" si="1"/>
        <v>0</v>
      </c>
      <c r="G63" s="715">
        <f t="shared" si="1"/>
        <v>0</v>
      </c>
    </row>
    <row r="64" spans="1:5" ht="13.5" thickBot="1">
      <c r="A64" s="445"/>
      <c r="B64" s="446"/>
      <c r="C64" s="446"/>
      <c r="D64" s="446"/>
      <c r="E64" s="446"/>
    </row>
  </sheetData>
  <sheetProtection/>
  <mergeCells count="4">
    <mergeCell ref="A1:E1"/>
    <mergeCell ref="A32:E32"/>
    <mergeCell ref="A2:E2"/>
    <mergeCell ref="A31:E31"/>
  </mergeCells>
  <printOptions horizontalCentered="1"/>
  <pageMargins left="0.7874015748031497" right="0.7874015748031497" top="0.5905511811023623" bottom="0.8661417322834646" header="0.35433070866141736" footer="0.1968503937007874"/>
  <pageSetup fitToWidth="0" fitToHeight="1" horizontalDpi="600" verticalDpi="600" orientation="portrait" paperSize="9" scale="73" r:id="rId1"/>
  <headerFooter alignWithMargins="0">
    <oddHeader>&amp;L10. melléklet a 28/2015.(XII.18.)   önkormányzati rendelethez
10. melléklet az 1/2015.(I.30.) önkormányzati rendelethez</oddHeader>
  </headerFooter>
  <ignoredErrors>
    <ignoredError sqref="D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view="pageBreakPreview" zoomScaleSheetLayoutView="100" workbookViewId="0" topLeftCell="B1">
      <selection activeCell="B154" sqref="B154"/>
    </sheetView>
  </sheetViews>
  <sheetFormatPr defaultColWidth="9.00390625" defaultRowHeight="12.75"/>
  <cols>
    <col min="1" max="1" width="0" style="128" hidden="1" customWidth="1"/>
    <col min="2" max="2" width="91.00390625" style="28" customWidth="1"/>
    <col min="3" max="3" width="12.25390625" style="20" customWidth="1"/>
    <col min="4" max="4" width="11.125" style="512" customWidth="1"/>
    <col min="5" max="5" width="12.125" style="19" customWidth="1"/>
    <col min="6" max="16384" width="9.125" style="19" customWidth="1"/>
  </cols>
  <sheetData>
    <row r="1" spans="2:3" ht="12.75">
      <c r="B1" s="31"/>
      <c r="C1" s="24"/>
    </row>
    <row r="2" spans="2:5" ht="32.25" customHeight="1">
      <c r="B2" s="1248" t="s">
        <v>30</v>
      </c>
      <c r="C2" s="1248"/>
      <c r="D2" s="1248"/>
      <c r="E2" s="1248"/>
    </row>
    <row r="3" spans="2:5" ht="15.75">
      <c r="B3" s="1249" t="s">
        <v>16</v>
      </c>
      <c r="C3" s="1249"/>
      <c r="D3" s="1249"/>
      <c r="E3" s="1249"/>
    </row>
    <row r="4" spans="2:3" ht="13.5" thickBot="1">
      <c r="B4" s="246"/>
      <c r="C4" s="27"/>
    </row>
    <row r="5" spans="1:5" ht="13.5" customHeight="1">
      <c r="A5" s="130" t="s">
        <v>40</v>
      </c>
      <c r="B5" s="29" t="s">
        <v>629</v>
      </c>
      <c r="C5" s="245" t="s">
        <v>4</v>
      </c>
      <c r="D5" s="660" t="s">
        <v>733</v>
      </c>
      <c r="E5" s="513" t="s">
        <v>799</v>
      </c>
    </row>
    <row r="6" spans="2:5" ht="12.75">
      <c r="B6" s="22"/>
      <c r="C6" s="242"/>
      <c r="D6" s="656"/>
      <c r="E6" s="661"/>
    </row>
    <row r="7" spans="2:5" ht="12.75">
      <c r="B7" s="26" t="s">
        <v>152</v>
      </c>
      <c r="C7" s="243"/>
      <c r="D7" s="656"/>
      <c r="E7" s="661"/>
    </row>
    <row r="8" spans="2:5" ht="12.75">
      <c r="B8" s="22"/>
      <c r="C8" s="242"/>
      <c r="D8" s="656"/>
      <c r="E8" s="661"/>
    </row>
    <row r="9" spans="1:5" s="25" customFormat="1" ht="12.75">
      <c r="A9" s="133"/>
      <c r="B9" s="26" t="s">
        <v>157</v>
      </c>
      <c r="C9" s="243">
        <f>SUM(C10:C13)</f>
        <v>327805</v>
      </c>
      <c r="D9" s="489">
        <f>SUM(D10:D16)</f>
        <v>353038</v>
      </c>
      <c r="E9" s="700">
        <f>SUM(E10:E17)</f>
        <v>357796</v>
      </c>
    </row>
    <row r="10" spans="1:5" ht="12.75">
      <c r="A10" s="130" t="s">
        <v>17</v>
      </c>
      <c r="B10" s="22" t="s">
        <v>174</v>
      </c>
      <c r="C10" s="242">
        <v>321405</v>
      </c>
      <c r="D10" s="656">
        <v>341638</v>
      </c>
      <c r="E10" s="701">
        <v>346470</v>
      </c>
    </row>
    <row r="11" spans="1:5" ht="12.75">
      <c r="A11" s="130" t="s">
        <v>104</v>
      </c>
      <c r="B11" s="22" t="s">
        <v>155</v>
      </c>
      <c r="C11" s="242">
        <v>2400</v>
      </c>
      <c r="D11" s="656">
        <v>2400</v>
      </c>
      <c r="E11" s="701">
        <v>2400</v>
      </c>
    </row>
    <row r="12" spans="1:5" ht="12.75">
      <c r="A12" s="130" t="s">
        <v>106</v>
      </c>
      <c r="B12" s="22" t="s">
        <v>472</v>
      </c>
      <c r="C12" s="242">
        <v>4000</v>
      </c>
      <c r="D12" s="656">
        <v>4000</v>
      </c>
      <c r="E12" s="701">
        <v>4000</v>
      </c>
    </row>
    <row r="13" spans="2:5" ht="12.75">
      <c r="B13" s="22" t="s">
        <v>177</v>
      </c>
      <c r="C13" s="242"/>
      <c r="D13" s="656">
        <v>100</v>
      </c>
      <c r="E13" s="701">
        <v>0</v>
      </c>
    </row>
    <row r="14" spans="2:5" ht="12.75">
      <c r="B14" s="22" t="s">
        <v>478</v>
      </c>
      <c r="C14" s="242"/>
      <c r="D14" s="656">
        <v>600</v>
      </c>
      <c r="E14" s="701">
        <v>600</v>
      </c>
    </row>
    <row r="15" spans="2:5" ht="12.75">
      <c r="B15" s="22" t="s">
        <v>128</v>
      </c>
      <c r="C15" s="242"/>
      <c r="D15" s="656">
        <v>300</v>
      </c>
      <c r="E15" s="701">
        <v>300</v>
      </c>
    </row>
    <row r="16" spans="2:5" ht="12.75">
      <c r="B16" s="22" t="s">
        <v>220</v>
      </c>
      <c r="C16" s="242"/>
      <c r="D16" s="656">
        <v>4000</v>
      </c>
      <c r="E16" s="701">
        <v>4000</v>
      </c>
    </row>
    <row r="17" spans="2:5" ht="12.75">
      <c r="B17" s="22" t="s">
        <v>809</v>
      </c>
      <c r="C17" s="242"/>
      <c r="D17" s="656"/>
      <c r="E17" s="701">
        <v>26</v>
      </c>
    </row>
    <row r="18" spans="2:5" ht="12.75">
      <c r="B18" s="22"/>
      <c r="C18" s="242"/>
      <c r="D18" s="656"/>
      <c r="E18" s="661"/>
    </row>
    <row r="19" spans="1:5" s="25" customFormat="1" ht="12.75">
      <c r="A19" s="133"/>
      <c r="B19" s="26" t="s">
        <v>159</v>
      </c>
      <c r="C19" s="243">
        <f>SUM(C20:C59)</f>
        <v>540123</v>
      </c>
      <c r="D19" s="489">
        <f>SUM(D20:D72)</f>
        <v>750165</v>
      </c>
      <c r="E19" s="700">
        <f>SUM(E20:E73)</f>
        <v>766414</v>
      </c>
    </row>
    <row r="20" spans="1:5" ht="12.75">
      <c r="A20" s="130" t="s">
        <v>103</v>
      </c>
      <c r="B20" s="22" t="s">
        <v>169</v>
      </c>
      <c r="C20" s="242">
        <v>15000</v>
      </c>
      <c r="D20" s="656">
        <v>15000</v>
      </c>
      <c r="E20" s="701">
        <v>15000</v>
      </c>
    </row>
    <row r="21" spans="1:5" ht="12.75">
      <c r="A21" s="130" t="s">
        <v>103</v>
      </c>
      <c r="B21" s="22" t="s">
        <v>170</v>
      </c>
      <c r="C21" s="242">
        <v>7000</v>
      </c>
      <c r="D21" s="656">
        <v>7000</v>
      </c>
      <c r="E21" s="701">
        <v>7000</v>
      </c>
    </row>
    <row r="22" spans="1:5" ht="12.75">
      <c r="A22" s="130" t="s">
        <v>149</v>
      </c>
      <c r="B22" s="22" t="s">
        <v>810</v>
      </c>
      <c r="C22" s="242">
        <v>142382</v>
      </c>
      <c r="D22" s="656">
        <v>351832</v>
      </c>
      <c r="E22" s="701">
        <v>378250</v>
      </c>
    </row>
    <row r="23" spans="1:5" ht="12.75">
      <c r="A23" s="130" t="s">
        <v>107</v>
      </c>
      <c r="B23" s="22" t="s">
        <v>129</v>
      </c>
      <c r="C23" s="242">
        <v>113745</v>
      </c>
      <c r="D23" s="656">
        <v>121932</v>
      </c>
      <c r="E23" s="701">
        <v>136282</v>
      </c>
    </row>
    <row r="24" spans="1:5" ht="12.75">
      <c r="A24" s="130" t="s">
        <v>103</v>
      </c>
      <c r="B24" s="22" t="s">
        <v>221</v>
      </c>
      <c r="C24" s="242">
        <v>20000</v>
      </c>
      <c r="D24" s="656">
        <v>10000</v>
      </c>
      <c r="E24" s="701">
        <v>10000</v>
      </c>
    </row>
    <row r="25" spans="1:5" ht="12.75">
      <c r="A25" s="130" t="s">
        <v>103</v>
      </c>
      <c r="B25" s="22" t="s">
        <v>223</v>
      </c>
      <c r="C25" s="242">
        <v>64000</v>
      </c>
      <c r="D25" s="656">
        <v>64600</v>
      </c>
      <c r="E25" s="701">
        <v>64600</v>
      </c>
    </row>
    <row r="26" spans="1:5" ht="12.75">
      <c r="A26" s="130" t="s">
        <v>103</v>
      </c>
      <c r="B26" s="22" t="s">
        <v>227</v>
      </c>
      <c r="C26" s="242">
        <v>45000</v>
      </c>
      <c r="D26" s="656">
        <v>45000</v>
      </c>
      <c r="E26" s="701">
        <v>43500</v>
      </c>
    </row>
    <row r="27" spans="1:5" ht="12.75">
      <c r="A27" s="130" t="s">
        <v>103</v>
      </c>
      <c r="B27" s="22" t="s">
        <v>171</v>
      </c>
      <c r="C27" s="242">
        <v>3000</v>
      </c>
      <c r="D27" s="656">
        <v>2500</v>
      </c>
      <c r="E27" s="701">
        <v>2500</v>
      </c>
    </row>
    <row r="28" spans="1:5" ht="12.75">
      <c r="A28" s="130" t="s">
        <v>103</v>
      </c>
      <c r="B28" s="22" t="s">
        <v>177</v>
      </c>
      <c r="C28" s="242">
        <v>5000</v>
      </c>
      <c r="D28" s="656">
        <v>3900</v>
      </c>
      <c r="E28" s="701">
        <v>4000</v>
      </c>
    </row>
    <row r="29" spans="1:5" ht="12.75">
      <c r="A29" s="130" t="s">
        <v>103</v>
      </c>
      <c r="B29" s="22" t="s">
        <v>473</v>
      </c>
      <c r="C29" s="242">
        <v>4000</v>
      </c>
      <c r="D29" s="656">
        <v>3060</v>
      </c>
      <c r="E29" s="701">
        <v>2556</v>
      </c>
    </row>
    <row r="30" spans="1:5" ht="12.75">
      <c r="A30" s="130" t="s">
        <v>103</v>
      </c>
      <c r="B30" s="22" t="s">
        <v>172</v>
      </c>
      <c r="C30" s="242">
        <v>1000</v>
      </c>
      <c r="D30" s="656">
        <v>1000</v>
      </c>
      <c r="E30" s="701">
        <v>1000</v>
      </c>
    </row>
    <row r="31" spans="1:5" ht="12.75">
      <c r="A31" s="130" t="s">
        <v>103</v>
      </c>
      <c r="B31" s="22" t="s">
        <v>173</v>
      </c>
      <c r="C31" s="242">
        <v>847</v>
      </c>
      <c r="D31" s="656">
        <v>847</v>
      </c>
      <c r="E31" s="701">
        <v>847</v>
      </c>
    </row>
    <row r="32" spans="1:5" ht="12.75">
      <c r="A32" s="130" t="s">
        <v>105</v>
      </c>
      <c r="B32" s="22" t="s">
        <v>474</v>
      </c>
      <c r="C32" s="242">
        <v>5740</v>
      </c>
      <c r="D32" s="656">
        <v>5740</v>
      </c>
      <c r="E32" s="701">
        <v>5740</v>
      </c>
    </row>
    <row r="33" spans="1:5" ht="12.75">
      <c r="A33" s="130" t="s">
        <v>103</v>
      </c>
      <c r="B33" s="22" t="s">
        <v>175</v>
      </c>
      <c r="C33" s="242">
        <v>5500</v>
      </c>
      <c r="D33" s="656">
        <v>5500</v>
      </c>
      <c r="E33" s="701">
        <v>5500</v>
      </c>
    </row>
    <row r="34" spans="1:5" ht="12.75">
      <c r="A34" s="130" t="s">
        <v>103</v>
      </c>
      <c r="B34" s="22" t="s">
        <v>176</v>
      </c>
      <c r="C34" s="242">
        <v>1000</v>
      </c>
      <c r="D34" s="656">
        <v>1000</v>
      </c>
      <c r="E34" s="701">
        <v>1000</v>
      </c>
    </row>
    <row r="35" spans="1:5" ht="12.75">
      <c r="A35" s="130" t="s">
        <v>103</v>
      </c>
      <c r="B35" s="22" t="s">
        <v>178</v>
      </c>
      <c r="C35" s="242">
        <v>300</v>
      </c>
      <c r="D35" s="656">
        <v>300</v>
      </c>
      <c r="E35" s="701">
        <v>300</v>
      </c>
    </row>
    <row r="36" spans="1:5" ht="12.75">
      <c r="A36" s="130" t="s">
        <v>103</v>
      </c>
      <c r="B36" s="22" t="s">
        <v>179</v>
      </c>
      <c r="C36" s="242">
        <v>200</v>
      </c>
      <c r="D36" s="656">
        <v>200</v>
      </c>
      <c r="E36" s="701">
        <v>200</v>
      </c>
    </row>
    <row r="37" spans="1:5" ht="12.75">
      <c r="A37" s="130" t="s">
        <v>103</v>
      </c>
      <c r="B37" s="22" t="s">
        <v>180</v>
      </c>
      <c r="C37" s="242">
        <v>500</v>
      </c>
      <c r="D37" s="656">
        <v>500</v>
      </c>
      <c r="E37" s="701">
        <v>1249</v>
      </c>
    </row>
    <row r="38" spans="1:5" ht="12.75">
      <c r="A38" s="130" t="s">
        <v>103</v>
      </c>
      <c r="B38" s="22" t="s">
        <v>213</v>
      </c>
      <c r="C38" s="242">
        <v>1000</v>
      </c>
      <c r="D38" s="656">
        <v>4500</v>
      </c>
      <c r="E38" s="701">
        <v>4500</v>
      </c>
    </row>
    <row r="39" spans="1:5" ht="12.75">
      <c r="A39" s="130" t="s">
        <v>103</v>
      </c>
      <c r="B39" s="22" t="s">
        <v>475</v>
      </c>
      <c r="C39" s="242">
        <v>1000</v>
      </c>
      <c r="D39" s="656">
        <v>1000</v>
      </c>
      <c r="E39" s="701">
        <v>1000</v>
      </c>
    </row>
    <row r="40" spans="1:5" ht="12.75">
      <c r="A40" s="130" t="s">
        <v>103</v>
      </c>
      <c r="B40" s="22" t="s">
        <v>215</v>
      </c>
      <c r="C40" s="242">
        <v>300</v>
      </c>
      <c r="D40" s="656">
        <v>300</v>
      </c>
      <c r="E40" s="701">
        <v>300</v>
      </c>
    </row>
    <row r="41" spans="1:5" ht="12.75">
      <c r="A41" s="130" t="s">
        <v>103</v>
      </c>
      <c r="B41" s="22" t="s">
        <v>214</v>
      </c>
      <c r="C41" s="242">
        <v>300</v>
      </c>
      <c r="D41" s="656">
        <v>300</v>
      </c>
      <c r="E41" s="701">
        <v>300</v>
      </c>
    </row>
    <row r="42" spans="1:5" ht="12.75">
      <c r="A42" s="130" t="s">
        <v>103</v>
      </c>
      <c r="B42" s="22" t="s">
        <v>664</v>
      </c>
      <c r="C42" s="242">
        <v>1000</v>
      </c>
      <c r="D42" s="656">
        <v>1000</v>
      </c>
      <c r="E42" s="701">
        <v>1000</v>
      </c>
    </row>
    <row r="43" spans="1:5" ht="12.75">
      <c r="A43" s="130" t="s">
        <v>103</v>
      </c>
      <c r="B43" s="22" t="s">
        <v>216</v>
      </c>
      <c r="C43" s="242">
        <v>1973</v>
      </c>
      <c r="D43" s="656">
        <v>1973</v>
      </c>
      <c r="E43" s="701">
        <v>1973</v>
      </c>
    </row>
    <row r="44" spans="1:5" ht="12.75">
      <c r="A44" s="130" t="s">
        <v>103</v>
      </c>
      <c r="B44" s="22" t="s">
        <v>218</v>
      </c>
      <c r="C44" s="242">
        <v>660</v>
      </c>
      <c r="D44" s="656">
        <v>660</v>
      </c>
      <c r="E44" s="701">
        <v>660</v>
      </c>
    </row>
    <row r="45" spans="1:5" ht="12.75">
      <c r="A45" s="130" t="s">
        <v>219</v>
      </c>
      <c r="B45" s="22" t="s">
        <v>220</v>
      </c>
      <c r="C45" s="242">
        <v>2000</v>
      </c>
      <c r="D45" s="656">
        <v>0</v>
      </c>
      <c r="E45" s="701">
        <v>0</v>
      </c>
    </row>
    <row r="46" spans="1:5" ht="12.75">
      <c r="A46" s="130" t="s">
        <v>103</v>
      </c>
      <c r="B46" s="22" t="s">
        <v>222</v>
      </c>
      <c r="C46" s="242">
        <v>300</v>
      </c>
      <c r="D46" s="656">
        <v>300</v>
      </c>
      <c r="E46" s="701">
        <v>300</v>
      </c>
    </row>
    <row r="47" spans="1:5" ht="12.75" customHeight="1">
      <c r="A47" s="130" t="s">
        <v>105</v>
      </c>
      <c r="B47" s="22" t="s">
        <v>517</v>
      </c>
      <c r="C47" s="242">
        <v>4500</v>
      </c>
      <c r="D47" s="656">
        <v>4500</v>
      </c>
      <c r="E47" s="701">
        <v>4500</v>
      </c>
    </row>
    <row r="48" spans="1:5" ht="25.5">
      <c r="A48" s="130" t="s">
        <v>105</v>
      </c>
      <c r="B48" s="22" t="s">
        <v>812</v>
      </c>
      <c r="C48" s="242">
        <v>39726</v>
      </c>
      <c r="D48" s="656">
        <v>39726</v>
      </c>
      <c r="E48" s="701">
        <v>44942</v>
      </c>
    </row>
    <row r="49" spans="1:5" ht="12.75">
      <c r="A49" s="130" t="s">
        <v>17</v>
      </c>
      <c r="B49" s="22" t="s">
        <v>518</v>
      </c>
      <c r="C49" s="242">
        <v>29000</v>
      </c>
      <c r="D49" s="656">
        <v>29000</v>
      </c>
      <c r="E49" s="701">
        <v>0</v>
      </c>
    </row>
    <row r="50" spans="1:5" ht="12.75">
      <c r="A50" s="130" t="s">
        <v>105</v>
      </c>
      <c r="B50" s="22" t="s">
        <v>226</v>
      </c>
      <c r="C50" s="242">
        <v>1000</v>
      </c>
      <c r="D50" s="656">
        <v>1000</v>
      </c>
      <c r="E50" s="701">
        <v>1000</v>
      </c>
    </row>
    <row r="51" spans="1:5" ht="12.75">
      <c r="A51" s="130" t="s">
        <v>103</v>
      </c>
      <c r="B51" s="22" t="s">
        <v>560</v>
      </c>
      <c r="C51" s="242">
        <v>3000</v>
      </c>
      <c r="D51" s="656">
        <v>3000</v>
      </c>
      <c r="E51" s="701">
        <v>3000</v>
      </c>
    </row>
    <row r="52" spans="1:5" ht="12.75">
      <c r="A52" s="130" t="s">
        <v>103</v>
      </c>
      <c r="B52" s="22" t="s">
        <v>561</v>
      </c>
      <c r="C52" s="242">
        <v>2500</v>
      </c>
      <c r="D52" s="656">
        <v>2500</v>
      </c>
      <c r="E52" s="701">
        <v>2500</v>
      </c>
    </row>
    <row r="53" spans="1:5" ht="12.75">
      <c r="A53" s="130" t="s">
        <v>103</v>
      </c>
      <c r="B53" s="22" t="s">
        <v>562</v>
      </c>
      <c r="C53" s="242">
        <v>500</v>
      </c>
      <c r="D53" s="656">
        <v>500</v>
      </c>
      <c r="E53" s="701">
        <v>500</v>
      </c>
    </row>
    <row r="54" spans="1:5" ht="12.75">
      <c r="A54" s="130" t="s">
        <v>103</v>
      </c>
      <c r="B54" s="22" t="s">
        <v>128</v>
      </c>
      <c r="C54" s="242">
        <v>300</v>
      </c>
      <c r="D54" s="656">
        <v>0</v>
      </c>
      <c r="E54" s="701">
        <v>0</v>
      </c>
    </row>
    <row r="55" spans="1:5" ht="25.5">
      <c r="A55" s="130" t="s">
        <v>103</v>
      </c>
      <c r="B55" s="22" t="s">
        <v>520</v>
      </c>
      <c r="C55" s="242">
        <v>15000</v>
      </c>
      <c r="D55" s="656">
        <v>15000</v>
      </c>
      <c r="E55" s="701">
        <v>15000</v>
      </c>
    </row>
    <row r="56" spans="1:5" ht="12.75">
      <c r="A56" s="130" t="s">
        <v>103</v>
      </c>
      <c r="B56" s="22" t="s">
        <v>476</v>
      </c>
      <c r="C56" s="242">
        <v>150</v>
      </c>
      <c r="D56" s="656">
        <v>150</v>
      </c>
      <c r="E56" s="701">
        <v>150</v>
      </c>
    </row>
    <row r="57" spans="1:5" ht="12.75">
      <c r="A57" s="130" t="s">
        <v>103</v>
      </c>
      <c r="B57" s="22" t="s">
        <v>811</v>
      </c>
      <c r="C57" s="242">
        <v>600</v>
      </c>
      <c r="D57" s="656">
        <v>600</v>
      </c>
      <c r="E57" s="701">
        <v>600</v>
      </c>
    </row>
    <row r="58" spans="1:5" ht="12.75">
      <c r="A58" s="130" t="s">
        <v>106</v>
      </c>
      <c r="B58" s="22" t="s">
        <v>477</v>
      </c>
      <c r="C58" s="242">
        <v>500</v>
      </c>
      <c r="D58" s="656">
        <v>500</v>
      </c>
      <c r="E58" s="701">
        <v>500</v>
      </c>
    </row>
    <row r="59" spans="1:5" ht="12.75">
      <c r="A59" s="130" t="s">
        <v>106</v>
      </c>
      <c r="B59" s="22" t="s">
        <v>478</v>
      </c>
      <c r="C59" s="242">
        <v>600</v>
      </c>
      <c r="D59" s="656">
        <v>0</v>
      </c>
      <c r="E59" s="701">
        <v>0</v>
      </c>
    </row>
    <row r="60" spans="1:5" ht="12.75">
      <c r="A60" s="130"/>
      <c r="B60" s="22" t="s">
        <v>688</v>
      </c>
      <c r="C60" s="242"/>
      <c r="D60" s="656">
        <v>500</v>
      </c>
      <c r="E60" s="701">
        <v>500</v>
      </c>
    </row>
    <row r="61" spans="1:5" ht="12.75">
      <c r="A61" s="130"/>
      <c r="B61" s="22" t="s">
        <v>739</v>
      </c>
      <c r="C61" s="242"/>
      <c r="D61" s="656">
        <v>100</v>
      </c>
      <c r="E61" s="701">
        <v>100</v>
      </c>
    </row>
    <row r="62" spans="1:5" ht="12.75">
      <c r="A62" s="130"/>
      <c r="B62" s="22" t="s">
        <v>740</v>
      </c>
      <c r="C62" s="242"/>
      <c r="D62" s="656">
        <v>500</v>
      </c>
      <c r="E62" s="701">
        <v>500</v>
      </c>
    </row>
    <row r="63" spans="1:5" ht="12.75">
      <c r="A63" s="130"/>
      <c r="B63" s="22" t="s">
        <v>741</v>
      </c>
      <c r="C63" s="242"/>
      <c r="D63" s="656">
        <v>500</v>
      </c>
      <c r="E63" s="701">
        <v>500</v>
      </c>
    </row>
    <row r="64" spans="1:5" ht="12.75">
      <c r="A64" s="130"/>
      <c r="B64" s="22" t="s">
        <v>813</v>
      </c>
      <c r="C64" s="242"/>
      <c r="D64" s="656"/>
      <c r="E64" s="701">
        <v>170</v>
      </c>
    </row>
    <row r="65" spans="1:5" ht="12.75">
      <c r="A65" s="130"/>
      <c r="B65" s="22" t="s">
        <v>655</v>
      </c>
      <c r="C65" s="242"/>
      <c r="D65" s="656"/>
      <c r="E65" s="701"/>
    </row>
    <row r="66" spans="1:5" ht="12.75">
      <c r="A66" s="130"/>
      <c r="B66" s="574" t="s">
        <v>793</v>
      </c>
      <c r="C66" s="242"/>
      <c r="D66" s="656">
        <v>1000</v>
      </c>
      <c r="E66" s="701">
        <v>1000</v>
      </c>
    </row>
    <row r="67" spans="1:5" ht="12.75">
      <c r="A67" s="130"/>
      <c r="B67" s="574" t="s">
        <v>806</v>
      </c>
      <c r="C67" s="242"/>
      <c r="D67" s="656">
        <v>150</v>
      </c>
      <c r="E67" s="701">
        <v>150</v>
      </c>
    </row>
    <row r="68" spans="1:5" ht="12.75">
      <c r="A68" s="130"/>
      <c r="B68" s="574" t="s">
        <v>794</v>
      </c>
      <c r="C68" s="242"/>
      <c r="D68" s="656">
        <v>100</v>
      </c>
      <c r="E68" s="701">
        <v>100</v>
      </c>
    </row>
    <row r="69" spans="1:5" ht="12.75">
      <c r="A69" s="130"/>
      <c r="B69" s="574" t="s">
        <v>795</v>
      </c>
      <c r="C69" s="242"/>
      <c r="D69" s="656">
        <v>500</v>
      </c>
      <c r="E69" s="701">
        <v>500</v>
      </c>
    </row>
    <row r="70" spans="1:5" ht="12.75">
      <c r="A70" s="130"/>
      <c r="B70" s="574" t="s">
        <v>796</v>
      </c>
      <c r="C70" s="242"/>
      <c r="D70" s="656">
        <v>50</v>
      </c>
      <c r="E70" s="701">
        <v>50</v>
      </c>
    </row>
    <row r="71" spans="1:5" ht="12.75">
      <c r="A71" s="130"/>
      <c r="B71" s="574" t="s">
        <v>797</v>
      </c>
      <c r="C71" s="242"/>
      <c r="D71" s="656">
        <v>45</v>
      </c>
      <c r="E71" s="701">
        <v>45</v>
      </c>
    </row>
    <row r="72" spans="1:5" ht="12.75">
      <c r="A72" s="130"/>
      <c r="B72" s="574" t="s">
        <v>798</v>
      </c>
      <c r="C72" s="242"/>
      <c r="D72" s="656">
        <v>300</v>
      </c>
      <c r="E72" s="701">
        <v>300</v>
      </c>
    </row>
    <row r="73" spans="1:5" ht="12.75">
      <c r="A73" s="130"/>
      <c r="B73" s="574" t="s">
        <v>814</v>
      </c>
      <c r="C73" s="242"/>
      <c r="D73" s="656"/>
      <c r="E73" s="701">
        <v>250</v>
      </c>
    </row>
    <row r="74" spans="1:5" s="33" customFormat="1" ht="13.5">
      <c r="A74" s="131"/>
      <c r="B74" s="32" t="s">
        <v>160</v>
      </c>
      <c r="C74" s="244">
        <f>SUM(C9,C19)</f>
        <v>867928</v>
      </c>
      <c r="D74" s="491">
        <f>SUM(D9,D19)</f>
        <v>1103203</v>
      </c>
      <c r="E74" s="702">
        <f>SUM(E9,E19)</f>
        <v>1124210</v>
      </c>
    </row>
    <row r="75" spans="2:5" ht="12.75">
      <c r="B75" s="22"/>
      <c r="C75" s="242"/>
      <c r="D75" s="656"/>
      <c r="E75" s="701"/>
    </row>
    <row r="76" spans="2:5" ht="12.75">
      <c r="B76" s="26" t="s">
        <v>156</v>
      </c>
      <c r="C76" s="243">
        <f>SUM(C77:C77)</f>
        <v>11000</v>
      </c>
      <c r="D76" s="489">
        <f>SUM(D77:D77)</f>
        <v>10000</v>
      </c>
      <c r="E76" s="700">
        <f>SUM(E77:E77)</f>
        <v>6635</v>
      </c>
    </row>
    <row r="77" spans="1:5" s="23" customFormat="1" ht="12.75">
      <c r="A77" s="134" t="s">
        <v>17</v>
      </c>
      <c r="B77" s="22" t="s">
        <v>521</v>
      </c>
      <c r="C77" s="242">
        <v>11000</v>
      </c>
      <c r="D77" s="656">
        <v>10000</v>
      </c>
      <c r="E77" s="701">
        <v>6635</v>
      </c>
    </row>
    <row r="78" spans="2:5" ht="12.75">
      <c r="B78" s="22"/>
      <c r="C78" s="242"/>
      <c r="D78" s="656"/>
      <c r="E78" s="701"/>
    </row>
    <row r="79" spans="1:5" s="25" customFormat="1" ht="12.75">
      <c r="A79" s="133"/>
      <c r="B79" s="26" t="s">
        <v>158</v>
      </c>
      <c r="C79" s="243">
        <f>SUM(C80:C82)</f>
        <v>30220</v>
      </c>
      <c r="D79" s="489">
        <f>SUM(D80:D82)</f>
        <v>30220</v>
      </c>
      <c r="E79" s="700">
        <f>SUM(E80:E82)</f>
        <v>30220</v>
      </c>
    </row>
    <row r="80" spans="1:5" ht="12.75">
      <c r="A80" s="130" t="s">
        <v>103</v>
      </c>
      <c r="B80" s="22" t="s">
        <v>217</v>
      </c>
      <c r="C80" s="242">
        <v>2000</v>
      </c>
      <c r="D80" s="656">
        <v>2000</v>
      </c>
      <c r="E80" s="701">
        <v>2000</v>
      </c>
    </row>
    <row r="81" spans="1:5" ht="25.5">
      <c r="A81" s="130" t="s">
        <v>103</v>
      </c>
      <c r="B81" s="22" t="s">
        <v>479</v>
      </c>
      <c r="C81" s="242">
        <v>21720</v>
      </c>
      <c r="D81" s="656">
        <v>21720</v>
      </c>
      <c r="E81" s="701">
        <v>21720</v>
      </c>
    </row>
    <row r="82" spans="1:5" ht="12.75">
      <c r="A82" s="130" t="s">
        <v>49</v>
      </c>
      <c r="B82" s="22" t="s">
        <v>534</v>
      </c>
      <c r="C82" s="242">
        <v>6500</v>
      </c>
      <c r="D82" s="656">
        <v>6500</v>
      </c>
      <c r="E82" s="701">
        <v>6500</v>
      </c>
    </row>
    <row r="83" spans="2:5" ht="12.75">
      <c r="B83" s="22"/>
      <c r="C83" s="242"/>
      <c r="D83" s="656"/>
      <c r="E83" s="701"/>
    </row>
    <row r="84" spans="1:5" s="33" customFormat="1" ht="13.5">
      <c r="A84" s="131"/>
      <c r="B84" s="32" t="s">
        <v>161</v>
      </c>
      <c r="C84" s="244">
        <f>SUM(C79,C76)</f>
        <v>41220</v>
      </c>
      <c r="D84" s="491">
        <f>SUM(D79,D76)</f>
        <v>40220</v>
      </c>
      <c r="E84" s="702">
        <f>SUM(E79,E76)</f>
        <v>36855</v>
      </c>
    </row>
    <row r="85" spans="2:5" ht="12.75">
      <c r="B85" s="22"/>
      <c r="C85" s="242"/>
      <c r="D85" s="656"/>
      <c r="E85" s="701"/>
    </row>
    <row r="86" spans="1:5" s="35" customFormat="1" ht="12.75">
      <c r="A86" s="141"/>
      <c r="B86" s="34" t="s">
        <v>162</v>
      </c>
      <c r="C86" s="251">
        <f>SUM(C74,C84)</f>
        <v>909148</v>
      </c>
      <c r="D86" s="490">
        <f>SUM(D74,D84)</f>
        <v>1143423</v>
      </c>
      <c r="E86" s="703">
        <f>SUM(E74,E84)</f>
        <v>1161065</v>
      </c>
    </row>
    <row r="87" spans="2:5" ht="12.75">
      <c r="B87" s="22"/>
      <c r="C87" s="242"/>
      <c r="D87" s="656"/>
      <c r="E87" s="701"/>
    </row>
    <row r="88" spans="1:5" s="25" customFormat="1" ht="12.75">
      <c r="A88" s="133"/>
      <c r="B88" s="26" t="s">
        <v>163</v>
      </c>
      <c r="C88" s="243">
        <f>SUM(C89:C93)</f>
        <v>14462</v>
      </c>
      <c r="D88" s="489">
        <f>SUM(D89:D93)</f>
        <v>14462</v>
      </c>
      <c r="E88" s="700">
        <f>SUM(E89)</f>
        <v>14462</v>
      </c>
    </row>
    <row r="89" spans="1:5" ht="25.5">
      <c r="A89" s="130" t="s">
        <v>57</v>
      </c>
      <c r="B89" s="22" t="s">
        <v>480</v>
      </c>
      <c r="C89" s="242">
        <v>14462</v>
      </c>
      <c r="D89" s="656">
        <v>14462</v>
      </c>
      <c r="E89" s="701">
        <v>14462</v>
      </c>
    </row>
    <row r="90" spans="1:5" ht="12.75">
      <c r="A90" s="130"/>
      <c r="B90" s="22"/>
      <c r="C90" s="242"/>
      <c r="D90" s="656"/>
      <c r="E90" s="701"/>
    </row>
    <row r="91" spans="1:5" ht="12.75">
      <c r="A91" s="130"/>
      <c r="B91" s="26" t="s">
        <v>816</v>
      </c>
      <c r="C91" s="242"/>
      <c r="D91" s="656"/>
      <c r="E91" s="704">
        <f>SUM(E92)</f>
        <v>380</v>
      </c>
    </row>
    <row r="92" spans="1:5" ht="12.75">
      <c r="A92" s="130"/>
      <c r="B92" s="22" t="s">
        <v>706</v>
      </c>
      <c r="C92" s="242"/>
      <c r="D92" s="656"/>
      <c r="E92" s="701">
        <v>380</v>
      </c>
    </row>
    <row r="93" spans="2:5" ht="12.75">
      <c r="B93" s="22"/>
      <c r="C93" s="242"/>
      <c r="D93" s="656"/>
      <c r="E93" s="701"/>
    </row>
    <row r="94" spans="1:5" s="25" customFormat="1" ht="12" customHeight="1">
      <c r="A94" s="133"/>
      <c r="B94" s="26" t="s">
        <v>164</v>
      </c>
      <c r="C94" s="243">
        <f>SUM(C95:C104)</f>
        <v>179128</v>
      </c>
      <c r="D94" s="489">
        <f>SUM(D95:D109)</f>
        <v>218164</v>
      </c>
      <c r="E94" s="700">
        <f>SUM(E95:E109)</f>
        <v>221964</v>
      </c>
    </row>
    <row r="95" spans="1:5" ht="12.75">
      <c r="A95" s="130" t="s">
        <v>103</v>
      </c>
      <c r="B95" s="22" t="s">
        <v>481</v>
      </c>
      <c r="C95" s="242">
        <v>5000</v>
      </c>
      <c r="D95" s="656">
        <v>5000</v>
      </c>
      <c r="E95" s="701">
        <v>5000</v>
      </c>
    </row>
    <row r="96" spans="1:5" ht="12.75">
      <c r="A96" s="130" t="s">
        <v>103</v>
      </c>
      <c r="B96" s="22" t="s">
        <v>482</v>
      </c>
      <c r="C96" s="242">
        <v>10000</v>
      </c>
      <c r="D96" s="656">
        <v>10000</v>
      </c>
      <c r="E96" s="701">
        <v>10000</v>
      </c>
    </row>
    <row r="97" spans="1:5" ht="12.75">
      <c r="A97" s="130" t="s">
        <v>103</v>
      </c>
      <c r="B97" s="22" t="s">
        <v>488</v>
      </c>
      <c r="C97" s="242">
        <v>739</v>
      </c>
      <c r="D97" s="656">
        <v>739</v>
      </c>
      <c r="E97" s="701">
        <v>739</v>
      </c>
    </row>
    <row r="98" spans="1:5" ht="12.75">
      <c r="A98" s="130" t="s">
        <v>103</v>
      </c>
      <c r="B98" s="22" t="s">
        <v>224</v>
      </c>
      <c r="C98" s="242">
        <v>2314</v>
      </c>
      <c r="D98" s="656">
        <v>2314</v>
      </c>
      <c r="E98" s="701">
        <v>2314</v>
      </c>
    </row>
    <row r="99" spans="1:5" ht="12.75">
      <c r="A99" s="130" t="s">
        <v>103</v>
      </c>
      <c r="B99" s="22" t="s">
        <v>225</v>
      </c>
      <c r="C99" s="242">
        <v>3500</v>
      </c>
      <c r="D99" s="656">
        <v>3500</v>
      </c>
      <c r="E99" s="701">
        <v>3500</v>
      </c>
    </row>
    <row r="100" spans="1:5" ht="12.75">
      <c r="A100" s="130" t="s">
        <v>103</v>
      </c>
      <c r="B100" s="22" t="s">
        <v>102</v>
      </c>
      <c r="C100" s="242">
        <v>1575</v>
      </c>
      <c r="D100" s="656">
        <v>2000</v>
      </c>
      <c r="E100" s="701">
        <v>2000</v>
      </c>
    </row>
    <row r="101" spans="1:5" ht="12.75">
      <c r="A101" s="130" t="s">
        <v>103</v>
      </c>
      <c r="B101" s="22" t="s">
        <v>489</v>
      </c>
      <c r="C101" s="242">
        <v>1000</v>
      </c>
      <c r="D101" s="656">
        <v>1000</v>
      </c>
      <c r="E101" s="701">
        <v>1000</v>
      </c>
    </row>
    <row r="102" spans="1:5" ht="12.75">
      <c r="A102" s="130" t="s">
        <v>49</v>
      </c>
      <c r="B102" s="22" t="s">
        <v>51</v>
      </c>
      <c r="C102" s="242">
        <v>66000</v>
      </c>
      <c r="D102" s="656">
        <v>78700</v>
      </c>
      <c r="E102" s="701">
        <v>78700</v>
      </c>
    </row>
    <row r="103" spans="1:5" ht="12.75">
      <c r="A103" s="130" t="s">
        <v>49</v>
      </c>
      <c r="B103" s="22" t="s">
        <v>54</v>
      </c>
      <c r="C103" s="242">
        <v>83000</v>
      </c>
      <c r="D103" s="656">
        <v>83000</v>
      </c>
      <c r="E103" s="701">
        <v>83000</v>
      </c>
    </row>
    <row r="104" spans="1:5" ht="12.75">
      <c r="A104" s="130" t="s">
        <v>149</v>
      </c>
      <c r="B104" s="22" t="s">
        <v>707</v>
      </c>
      <c r="C104" s="242">
        <v>6000</v>
      </c>
      <c r="D104" s="656">
        <v>6000</v>
      </c>
      <c r="E104" s="701">
        <v>5800</v>
      </c>
    </row>
    <row r="105" spans="1:5" ht="12.75">
      <c r="A105" s="130"/>
      <c r="B105" s="22" t="s">
        <v>702</v>
      </c>
      <c r="C105" s="242"/>
      <c r="D105" s="656">
        <v>2500</v>
      </c>
      <c r="E105" s="701">
        <v>2500</v>
      </c>
    </row>
    <row r="106" spans="1:5" ht="12.75">
      <c r="A106" s="130"/>
      <c r="B106" s="22" t="s">
        <v>703</v>
      </c>
      <c r="C106" s="242"/>
      <c r="D106" s="656">
        <v>1</v>
      </c>
      <c r="E106" s="701">
        <v>1</v>
      </c>
    </row>
    <row r="107" spans="1:5" ht="12.75">
      <c r="A107" s="130"/>
      <c r="B107" s="22" t="s">
        <v>705</v>
      </c>
      <c r="C107" s="242"/>
      <c r="D107" s="656">
        <v>18916</v>
      </c>
      <c r="E107" s="701">
        <v>18916</v>
      </c>
    </row>
    <row r="108" spans="1:5" ht="12.75">
      <c r="A108" s="130"/>
      <c r="B108" s="22" t="s">
        <v>742</v>
      </c>
      <c r="C108" s="242"/>
      <c r="D108" s="656">
        <v>3194</v>
      </c>
      <c r="E108" s="701">
        <v>3194</v>
      </c>
    </row>
    <row r="109" spans="1:5" ht="12.75">
      <c r="A109" s="130"/>
      <c r="B109" s="22" t="s">
        <v>223</v>
      </c>
      <c r="C109" s="242"/>
      <c r="D109" s="656">
        <v>1300</v>
      </c>
      <c r="E109" s="701">
        <v>5300</v>
      </c>
    </row>
    <row r="110" spans="2:5" ht="12.75">
      <c r="B110" s="22"/>
      <c r="C110" s="242"/>
      <c r="D110" s="656"/>
      <c r="E110" s="661"/>
    </row>
    <row r="111" spans="1:5" s="33" customFormat="1" ht="13.5">
      <c r="A111" s="131"/>
      <c r="B111" s="32" t="s">
        <v>165</v>
      </c>
      <c r="C111" s="244">
        <f>SUM(C88,C94)</f>
        <v>193590</v>
      </c>
      <c r="D111" s="491">
        <f>SUM(D88,D94)</f>
        <v>232626</v>
      </c>
      <c r="E111" s="702">
        <f>SUM(E88,E94)</f>
        <v>236426</v>
      </c>
    </row>
    <row r="112" spans="2:5" ht="12.75">
      <c r="B112" s="22"/>
      <c r="C112" s="242"/>
      <c r="D112" s="656"/>
      <c r="E112" s="661"/>
    </row>
    <row r="113" spans="1:5" s="21" customFormat="1" ht="12.75">
      <c r="A113" s="129"/>
      <c r="B113" s="26"/>
      <c r="C113" s="243"/>
      <c r="D113" s="657"/>
      <c r="E113" s="663"/>
    </row>
    <row r="114" spans="1:5" s="21" customFormat="1" ht="12.75">
      <c r="A114" s="129"/>
      <c r="B114" s="26" t="s">
        <v>704</v>
      </c>
      <c r="C114" s="243"/>
      <c r="D114" s="489">
        <f>SUM(D115:D117)</f>
        <v>28786</v>
      </c>
      <c r="E114" s="700">
        <f>SUM(E115:E118)</f>
        <v>28606</v>
      </c>
    </row>
    <row r="115" spans="1:5" s="23" customFormat="1" ht="12.75">
      <c r="A115" s="134"/>
      <c r="B115" s="22" t="s">
        <v>705</v>
      </c>
      <c r="C115" s="242"/>
      <c r="D115" s="656">
        <v>12770</v>
      </c>
      <c r="E115" s="701">
        <v>12770</v>
      </c>
    </row>
    <row r="116" spans="1:5" s="23" customFormat="1" ht="12.75">
      <c r="A116" s="134"/>
      <c r="B116" s="382" t="s">
        <v>706</v>
      </c>
      <c r="C116" s="383"/>
      <c r="D116" s="656">
        <v>380</v>
      </c>
      <c r="E116" s="701">
        <v>0</v>
      </c>
    </row>
    <row r="117" spans="1:5" s="23" customFormat="1" ht="12.75">
      <c r="A117" s="134"/>
      <c r="B117" s="382" t="s">
        <v>743</v>
      </c>
      <c r="C117" s="383"/>
      <c r="D117" s="656">
        <v>15636</v>
      </c>
      <c r="E117" s="701">
        <v>15636</v>
      </c>
    </row>
    <row r="118" spans="1:5" s="23" customFormat="1" ht="12.75">
      <c r="A118" s="134"/>
      <c r="B118" s="382" t="s">
        <v>815</v>
      </c>
      <c r="C118" s="383"/>
      <c r="D118" s="656"/>
      <c r="E118" s="701">
        <v>200</v>
      </c>
    </row>
    <row r="119" spans="1:5" s="35" customFormat="1" ht="13.5">
      <c r="A119" s="141"/>
      <c r="B119" s="695" t="s">
        <v>817</v>
      </c>
      <c r="C119" s="696">
        <f>SUM(C114)</f>
        <v>0</v>
      </c>
      <c r="D119" s="697">
        <f>SUM(D114)</f>
        <v>28786</v>
      </c>
      <c r="E119" s="705">
        <f>SUM(E114+E91)</f>
        <v>28986</v>
      </c>
    </row>
    <row r="120" spans="1:5" s="35" customFormat="1" ht="12.75">
      <c r="A120" s="141"/>
      <c r="B120" s="34"/>
      <c r="C120" s="384"/>
      <c r="D120" s="658"/>
      <c r="E120" s="662"/>
    </row>
    <row r="121" spans="1:5" s="35" customFormat="1" ht="12.75">
      <c r="A121" s="141"/>
      <c r="B121" s="34" t="s">
        <v>167</v>
      </c>
      <c r="C121" s="385">
        <f>SUM(C111+C114)</f>
        <v>193590</v>
      </c>
      <c r="D121" s="659">
        <f>SUM(D111+D114)</f>
        <v>261412</v>
      </c>
      <c r="E121" s="706">
        <f>SUM(E111+E119)</f>
        <v>265412</v>
      </c>
    </row>
    <row r="122" spans="1:5" s="25" customFormat="1" ht="33.75" customHeight="1" thickBot="1">
      <c r="A122" s="133"/>
      <c r="B122" s="63" t="s">
        <v>251</v>
      </c>
      <c r="C122" s="252">
        <f>SUM(C86,C111)</f>
        <v>1102738</v>
      </c>
      <c r="D122" s="487">
        <f>SUM(D86,D111,D114)</f>
        <v>1404835</v>
      </c>
      <c r="E122" s="707">
        <f>SUM(E86,E111,E119)</f>
        <v>1426477</v>
      </c>
    </row>
    <row r="123" spans="1:4" s="62" customFormat="1" ht="21.75" customHeight="1" thickBot="1">
      <c r="A123" s="142"/>
      <c r="B123" s="120"/>
      <c r="C123" s="121"/>
      <c r="D123" s="514"/>
    </row>
    <row r="124" spans="2:5" ht="15.75" customHeight="1">
      <c r="B124" s="29" t="s">
        <v>168</v>
      </c>
      <c r="C124" s="245" t="s">
        <v>4</v>
      </c>
      <c r="D124" s="660" t="s">
        <v>733</v>
      </c>
      <c r="E124" s="513" t="s">
        <v>799</v>
      </c>
    </row>
    <row r="125" spans="2:5" ht="12.75">
      <c r="B125" s="26" t="s">
        <v>744</v>
      </c>
      <c r="C125" s="242"/>
      <c r="D125" s="657">
        <v>230</v>
      </c>
      <c r="E125" s="704">
        <f>SUM(E126)</f>
        <v>230</v>
      </c>
    </row>
    <row r="126" spans="2:5" ht="12.75">
      <c r="B126" s="22" t="s">
        <v>745</v>
      </c>
      <c r="C126" s="242"/>
      <c r="D126" s="656">
        <v>230</v>
      </c>
      <c r="E126" s="701">
        <v>230</v>
      </c>
    </row>
    <row r="127" spans="2:5" ht="12.75">
      <c r="B127" s="26" t="s">
        <v>166</v>
      </c>
      <c r="C127" s="243">
        <f>SUM(C128:C129)</f>
        <v>1000</v>
      </c>
      <c r="D127" s="486">
        <f>SUM(D128:D129)</f>
        <v>1000</v>
      </c>
      <c r="E127" s="708">
        <f>SUM(E128:E129)</f>
        <v>1000</v>
      </c>
    </row>
    <row r="128" spans="2:5" ht="12.75">
      <c r="B128" s="22" t="s">
        <v>228</v>
      </c>
      <c r="C128" s="242">
        <v>1000</v>
      </c>
      <c r="D128" s="656">
        <v>1000</v>
      </c>
      <c r="E128" s="701">
        <v>1000</v>
      </c>
    </row>
    <row r="129" spans="2:5" ht="12.75">
      <c r="B129" s="22"/>
      <c r="C129" s="242"/>
      <c r="D129" s="656"/>
      <c r="E129" s="661"/>
    </row>
    <row r="130" spans="2:5" ht="30.75" customHeight="1" thickBot="1">
      <c r="B130" s="63" t="s">
        <v>252</v>
      </c>
      <c r="C130" s="252">
        <f>SUM(C127)</f>
        <v>1000</v>
      </c>
      <c r="D130" s="488">
        <f>SUM(D127+D125)</f>
        <v>1230</v>
      </c>
      <c r="E130" s="709">
        <f>SUM(E127+E125)</f>
        <v>1230</v>
      </c>
    </row>
    <row r="131" spans="2:3" ht="30.75" customHeight="1" hidden="1">
      <c r="B131" s="143"/>
      <c r="C131" s="144"/>
    </row>
    <row r="132" ht="12.75" hidden="1">
      <c r="A132" s="132" t="s">
        <v>108</v>
      </c>
    </row>
    <row r="133" spans="1:2" ht="12.75" hidden="1">
      <c r="A133" s="130" t="s">
        <v>103</v>
      </c>
      <c r="B133" s="30">
        <f aca="true" t="shared" si="0" ref="B133:B141">SUMIF($A$10:$C$82,A133,$C$10:$C$82)</f>
        <v>224650</v>
      </c>
    </row>
    <row r="134" spans="1:2" ht="12.75" hidden="1">
      <c r="A134" s="130" t="s">
        <v>17</v>
      </c>
      <c r="B134" s="30">
        <f t="shared" si="0"/>
        <v>361405</v>
      </c>
    </row>
    <row r="135" spans="1:2" ht="12.75" hidden="1">
      <c r="A135" s="130" t="s">
        <v>219</v>
      </c>
      <c r="B135" s="30">
        <f t="shared" si="0"/>
        <v>2000</v>
      </c>
    </row>
    <row r="136" spans="1:2" ht="12.75" hidden="1">
      <c r="A136" s="130" t="s">
        <v>104</v>
      </c>
      <c r="B136" s="30">
        <f t="shared" si="0"/>
        <v>2400</v>
      </c>
    </row>
    <row r="137" spans="1:2" ht="12.75" hidden="1">
      <c r="A137" s="130" t="s">
        <v>105</v>
      </c>
      <c r="B137" s="30">
        <f t="shared" si="0"/>
        <v>50966</v>
      </c>
    </row>
    <row r="138" spans="1:2" ht="12.75" hidden="1">
      <c r="A138" s="130" t="s">
        <v>106</v>
      </c>
      <c r="B138" s="30">
        <f t="shared" si="0"/>
        <v>5100</v>
      </c>
    </row>
    <row r="139" spans="1:2" ht="12.75" hidden="1">
      <c r="A139" s="130" t="s">
        <v>107</v>
      </c>
      <c r="B139" s="30">
        <f t="shared" si="0"/>
        <v>113745</v>
      </c>
    </row>
    <row r="140" spans="1:2" ht="12.75" hidden="1">
      <c r="A140" s="130" t="s">
        <v>149</v>
      </c>
      <c r="B140" s="30">
        <f t="shared" si="0"/>
        <v>142382</v>
      </c>
    </row>
    <row r="141" spans="1:2" ht="12.75" hidden="1">
      <c r="A141" s="130" t="s">
        <v>49</v>
      </c>
      <c r="B141" s="30">
        <f t="shared" si="0"/>
        <v>6500</v>
      </c>
    </row>
    <row r="142" ht="12.75" hidden="1">
      <c r="B142" s="30">
        <f>SUM(B133:B141)</f>
        <v>909148</v>
      </c>
    </row>
    <row r="143" ht="12.75" hidden="1"/>
    <row r="144" ht="12.75" hidden="1">
      <c r="A144" s="132" t="s">
        <v>109</v>
      </c>
    </row>
    <row r="145" spans="1:2" ht="12.75" hidden="1">
      <c r="A145" s="130" t="s">
        <v>103</v>
      </c>
      <c r="B145" s="145">
        <f>SUMIF($A$89:$C$115,A145,$C$89:$C$112)</f>
        <v>24128</v>
      </c>
    </row>
    <row r="146" spans="1:2" ht="12.75" hidden="1">
      <c r="A146" s="130" t="s">
        <v>57</v>
      </c>
      <c r="B146" s="145">
        <f>SUMIF($A$89:$C$115,A146,$C$89:$C$112)</f>
        <v>14462</v>
      </c>
    </row>
    <row r="147" spans="1:2" ht="12.75" hidden="1">
      <c r="A147" s="130" t="s">
        <v>49</v>
      </c>
      <c r="B147" s="145">
        <f>SUMIF($A$89:$C$115,A147,$C$89:$C$112)</f>
        <v>149000</v>
      </c>
    </row>
    <row r="148" spans="1:2" ht="12.75" hidden="1">
      <c r="A148" s="130" t="s">
        <v>149</v>
      </c>
      <c r="B148" s="145">
        <f>SUMIF($A$89:$C$115,A148,$C$89:$C$112)</f>
        <v>6000</v>
      </c>
    </row>
    <row r="149" ht="12.75" hidden="1">
      <c r="B149" s="145">
        <f>SUM(B145:B148)</f>
        <v>193590</v>
      </c>
    </row>
  </sheetData>
  <sheetProtection password="CC05" sheet="1"/>
  <mergeCells count="2">
    <mergeCell ref="B2:E2"/>
    <mergeCell ref="B3:E3"/>
  </mergeCells>
  <printOptions horizontalCentered="1"/>
  <pageMargins left="0.4724409448818898" right="0.2362204724409449" top="1.141732283464567" bottom="0.7874015748031497" header="0.5118110236220472" footer="0.3937007874015748"/>
  <pageSetup fitToHeight="0" fitToWidth="1" horizontalDpi="600" verticalDpi="600" orientation="portrait" paperSize="9" scale="76" r:id="rId1"/>
  <headerFooter alignWithMargins="0">
    <oddHeader>&amp;L11. melléklet a 28/2015.(XII.18.)   önkormányzati rendelethez
11. melléklet az 1/2015.(I.30.) önkormányzati rendelethez</oddHeader>
  </headerFooter>
  <rowBreaks count="1" manualBreakCount="1">
    <brk id="64" min="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view="pageBreakPreview" zoomScaleSheetLayoutView="100" workbookViewId="0" topLeftCell="A70">
      <selection activeCell="A24" sqref="A24"/>
    </sheetView>
  </sheetViews>
  <sheetFormatPr defaultColWidth="9.00390625" defaultRowHeight="12.75"/>
  <cols>
    <col min="1" max="1" width="94.75390625" style="28" customWidth="1"/>
    <col min="2" max="2" width="12.25390625" style="20" customWidth="1"/>
    <col min="3" max="3" width="11.375" style="512" customWidth="1"/>
    <col min="4" max="4" width="11.375" style="720" customWidth="1"/>
    <col min="5" max="16384" width="9.125" style="19" customWidth="1"/>
  </cols>
  <sheetData>
    <row r="1" spans="1:2" ht="7.5" customHeight="1">
      <c r="A1" s="143"/>
      <c r="B1" s="719"/>
    </row>
    <row r="2" spans="1:4" ht="26.25" customHeight="1">
      <c r="A2" s="1250" t="s">
        <v>31</v>
      </c>
      <c r="B2" s="1250"/>
      <c r="C2" s="1250"/>
      <c r="D2" s="1250"/>
    </row>
    <row r="3" spans="1:4" ht="14.25" customHeight="1">
      <c r="A3" s="1251" t="s">
        <v>16</v>
      </c>
      <c r="B3" s="1251"/>
      <c r="C3" s="1251"/>
      <c r="D3" s="1251"/>
    </row>
    <row r="4" spans="1:2" ht="9" customHeight="1" thickBot="1">
      <c r="A4" s="246"/>
      <c r="B4" s="27"/>
    </row>
    <row r="5" spans="1:4" ht="15.75" customHeight="1">
      <c r="A5" s="721" t="s">
        <v>629</v>
      </c>
      <c r="B5" s="722" t="s">
        <v>4</v>
      </c>
      <c r="C5" s="723" t="s">
        <v>733</v>
      </c>
      <c r="D5" s="724" t="s">
        <v>799</v>
      </c>
    </row>
    <row r="6" spans="1:4" ht="12" customHeight="1">
      <c r="A6" s="725"/>
      <c r="B6" s="726"/>
      <c r="C6" s="727"/>
      <c r="D6" s="728"/>
    </row>
    <row r="7" spans="1:4" ht="12.75">
      <c r="A7" s="729" t="s">
        <v>152</v>
      </c>
      <c r="B7" s="730"/>
      <c r="C7" s="727"/>
      <c r="D7" s="728"/>
    </row>
    <row r="8" spans="1:4" ht="12" customHeight="1">
      <c r="A8" s="725"/>
      <c r="B8" s="726"/>
      <c r="C8" s="727"/>
      <c r="D8" s="728"/>
    </row>
    <row r="9" spans="1:4" s="25" customFormat="1" ht="12.75">
      <c r="A9" s="729" t="s">
        <v>241</v>
      </c>
      <c r="B9" s="730">
        <f>SUM(B10:B33)</f>
        <v>169578</v>
      </c>
      <c r="C9" s="731">
        <f>SUM(C10:C33)</f>
        <v>344420</v>
      </c>
      <c r="D9" s="732">
        <f>SUM(D10:D33)</f>
        <v>415909</v>
      </c>
    </row>
    <row r="10" spans="1:4" ht="12.75">
      <c r="A10" s="725" t="s">
        <v>404</v>
      </c>
      <c r="B10" s="726">
        <v>12248</v>
      </c>
      <c r="C10" s="727">
        <v>12248</v>
      </c>
      <c r="D10" s="733">
        <v>12248</v>
      </c>
    </row>
    <row r="11" spans="1:4" ht="12.75">
      <c r="A11" s="725" t="s">
        <v>243</v>
      </c>
      <c r="B11" s="726">
        <v>8000</v>
      </c>
      <c r="C11" s="727">
        <v>8000</v>
      </c>
      <c r="D11" s="733">
        <v>8000</v>
      </c>
    </row>
    <row r="12" spans="1:4" ht="12.75">
      <c r="A12" s="725" t="s">
        <v>457</v>
      </c>
      <c r="B12" s="726">
        <v>103000</v>
      </c>
      <c r="C12" s="727">
        <v>103000</v>
      </c>
      <c r="D12" s="733">
        <v>104090</v>
      </c>
    </row>
    <row r="13" spans="1:4" ht="12.75">
      <c r="A13" s="725" t="s">
        <v>246</v>
      </c>
      <c r="B13" s="726">
        <v>20500</v>
      </c>
      <c r="C13" s="727">
        <v>20500</v>
      </c>
      <c r="D13" s="733">
        <v>19410</v>
      </c>
    </row>
    <row r="14" spans="1:4" ht="12.75">
      <c r="A14" s="725" t="s">
        <v>259</v>
      </c>
      <c r="B14" s="726">
        <v>6572</v>
      </c>
      <c r="C14" s="727">
        <v>6572</v>
      </c>
      <c r="D14" s="733">
        <v>6572</v>
      </c>
    </row>
    <row r="15" spans="1:4" ht="12.75">
      <c r="A15" s="725" t="s">
        <v>253</v>
      </c>
      <c r="B15" s="726">
        <v>975</v>
      </c>
      <c r="C15" s="727">
        <v>975</v>
      </c>
      <c r="D15" s="733">
        <v>975</v>
      </c>
    </row>
    <row r="16" spans="1:4" ht="12.75">
      <c r="A16" s="725" t="s">
        <v>20</v>
      </c>
      <c r="B16" s="726">
        <v>18283</v>
      </c>
      <c r="C16" s="727">
        <v>18283</v>
      </c>
      <c r="D16" s="733">
        <v>18283</v>
      </c>
    </row>
    <row r="17" spans="1:4" ht="12.75">
      <c r="A17" s="725" t="s">
        <v>9</v>
      </c>
      <c r="B17" s="726"/>
      <c r="C17" s="727">
        <v>90625</v>
      </c>
      <c r="D17" s="733">
        <v>90625</v>
      </c>
    </row>
    <row r="18" spans="1:4" ht="12.75">
      <c r="A18" s="725" t="s">
        <v>709</v>
      </c>
      <c r="B18" s="726"/>
      <c r="C18" s="727">
        <v>3463</v>
      </c>
      <c r="D18" s="733">
        <v>6844</v>
      </c>
    </row>
    <row r="19" spans="1:4" ht="12.75">
      <c r="A19" s="725" t="s">
        <v>21</v>
      </c>
      <c r="B19" s="726"/>
      <c r="C19" s="727">
        <v>12000</v>
      </c>
      <c r="D19" s="733">
        <v>12000</v>
      </c>
    </row>
    <row r="20" spans="1:4" ht="12" customHeight="1">
      <c r="A20" s="725" t="s">
        <v>746</v>
      </c>
      <c r="B20" s="726"/>
      <c r="C20" s="727">
        <v>16993</v>
      </c>
      <c r="D20" s="733">
        <v>21748</v>
      </c>
    </row>
    <row r="21" spans="1:4" ht="12.75" customHeight="1">
      <c r="A21" s="725" t="s">
        <v>747</v>
      </c>
      <c r="B21" s="726"/>
      <c r="C21" s="727">
        <v>2783</v>
      </c>
      <c r="D21" s="733">
        <v>3951</v>
      </c>
    </row>
    <row r="22" spans="1:4" ht="25.5">
      <c r="A22" s="725" t="s">
        <v>8</v>
      </c>
      <c r="B22" s="726"/>
      <c r="C22" s="727">
        <v>9903</v>
      </c>
      <c r="D22" s="733">
        <v>9903</v>
      </c>
    </row>
    <row r="23" spans="1:4" ht="12.75">
      <c r="A23" s="725" t="s">
        <v>140</v>
      </c>
      <c r="B23" s="726"/>
      <c r="C23" s="727">
        <v>7502</v>
      </c>
      <c r="D23" s="733">
        <v>37429</v>
      </c>
    </row>
    <row r="24" spans="1:4" ht="12.75">
      <c r="A24" s="725" t="s">
        <v>10</v>
      </c>
      <c r="B24" s="726"/>
      <c r="C24" s="727">
        <v>16141</v>
      </c>
      <c r="D24" s="733">
        <v>19261</v>
      </c>
    </row>
    <row r="25" spans="1:4" ht="12.75">
      <c r="A25" s="725" t="s">
        <v>148</v>
      </c>
      <c r="B25" s="726"/>
      <c r="C25" s="727">
        <v>2582</v>
      </c>
      <c r="D25" s="733">
        <v>2582</v>
      </c>
    </row>
    <row r="26" spans="1:4" ht="25.5">
      <c r="A26" s="725" t="s">
        <v>451</v>
      </c>
      <c r="B26" s="726"/>
      <c r="C26" s="727">
        <v>12850</v>
      </c>
      <c r="D26" s="733">
        <v>12850</v>
      </c>
    </row>
    <row r="27" spans="1:4" ht="12.75">
      <c r="A27" s="776" t="s">
        <v>7</v>
      </c>
      <c r="B27" s="777"/>
      <c r="C27" s="778"/>
      <c r="D27" s="780">
        <v>14980</v>
      </c>
    </row>
    <row r="28" spans="1:4" ht="12.75">
      <c r="A28" s="776" t="s">
        <v>463</v>
      </c>
      <c r="B28" s="777"/>
      <c r="C28" s="778"/>
      <c r="D28" s="780">
        <v>9502</v>
      </c>
    </row>
    <row r="29" spans="1:4" ht="12.75">
      <c r="A29" s="776" t="s">
        <v>818</v>
      </c>
      <c r="B29" s="777"/>
      <c r="C29" s="778"/>
      <c r="D29" s="780">
        <v>1512</v>
      </c>
    </row>
    <row r="30" spans="1:4" ht="12.75">
      <c r="A30" s="776" t="s">
        <v>819</v>
      </c>
      <c r="B30" s="777"/>
      <c r="C30" s="778"/>
      <c r="D30" s="780">
        <v>500</v>
      </c>
    </row>
    <row r="31" spans="1:4" ht="12.75">
      <c r="A31" s="776" t="s">
        <v>820</v>
      </c>
      <c r="B31" s="777"/>
      <c r="C31" s="778"/>
      <c r="D31" s="780">
        <v>300</v>
      </c>
    </row>
    <row r="32" spans="1:4" ht="12.75">
      <c r="A32" s="776" t="s">
        <v>821</v>
      </c>
      <c r="B32" s="777"/>
      <c r="C32" s="778"/>
      <c r="D32" s="780">
        <v>2344</v>
      </c>
    </row>
    <row r="33" spans="1:4" s="25" customFormat="1" ht="12.75">
      <c r="A33" s="776"/>
      <c r="B33" s="777"/>
      <c r="C33" s="778"/>
      <c r="D33" s="780"/>
    </row>
    <row r="34" spans="1:4" ht="12.75">
      <c r="A34" s="781" t="s">
        <v>710</v>
      </c>
      <c r="B34" s="782"/>
      <c r="C34" s="783">
        <f>SUM(C35)</f>
        <v>10000</v>
      </c>
      <c r="D34" s="782">
        <f>SUM(D35)</f>
        <v>6635</v>
      </c>
    </row>
    <row r="35" spans="1:4" ht="12.75">
      <c r="A35" s="776" t="s">
        <v>522</v>
      </c>
      <c r="B35" s="782"/>
      <c r="C35" s="778">
        <v>10000</v>
      </c>
      <c r="D35" s="779">
        <v>6635</v>
      </c>
    </row>
    <row r="36" spans="1:4" s="25" customFormat="1" ht="12.75">
      <c r="A36" s="776"/>
      <c r="B36" s="782"/>
      <c r="C36" s="778"/>
      <c r="D36" s="779"/>
    </row>
    <row r="37" spans="1:4" s="25" customFormat="1" ht="12.75">
      <c r="A37" s="781" t="s">
        <v>711</v>
      </c>
      <c r="B37" s="782"/>
      <c r="C37" s="783">
        <f>SUM(C9,C34)</f>
        <v>354420</v>
      </c>
      <c r="D37" s="782">
        <f>SUM(D9,D34)</f>
        <v>422544</v>
      </c>
    </row>
    <row r="38" spans="1:4" s="25" customFormat="1" ht="12.75">
      <c r="A38" s="776"/>
      <c r="B38" s="782"/>
      <c r="C38" s="778"/>
      <c r="D38" s="779"/>
    </row>
    <row r="39" spans="1:4" s="25" customFormat="1" ht="12.75">
      <c r="A39" s="781" t="s">
        <v>716</v>
      </c>
      <c r="B39" s="782">
        <f>SUM(B40:B40)</f>
        <v>2700</v>
      </c>
      <c r="C39" s="783">
        <f>SUM(C40:C41)</f>
        <v>2799</v>
      </c>
      <c r="D39" s="782">
        <f>SUM(D40:D42)</f>
        <v>4529</v>
      </c>
    </row>
    <row r="40" spans="1:4" s="25" customFormat="1" ht="12.75">
      <c r="A40" s="776" t="s">
        <v>245</v>
      </c>
      <c r="B40" s="777">
        <v>2700</v>
      </c>
      <c r="C40" s="778">
        <v>2700</v>
      </c>
      <c r="D40" s="779">
        <v>2700</v>
      </c>
    </row>
    <row r="41" spans="1:4" s="25" customFormat="1" ht="12.75">
      <c r="A41" s="776" t="s">
        <v>748</v>
      </c>
      <c r="B41" s="777"/>
      <c r="C41" s="778">
        <v>99</v>
      </c>
      <c r="D41" s="779">
        <v>99</v>
      </c>
    </row>
    <row r="42" spans="1:4" s="25" customFormat="1" ht="12.75">
      <c r="A42" s="776" t="s">
        <v>822</v>
      </c>
      <c r="B42" s="777"/>
      <c r="C42" s="778"/>
      <c r="D42" s="779">
        <v>1730</v>
      </c>
    </row>
    <row r="43" spans="1:4" ht="12.75">
      <c r="A43" s="725"/>
      <c r="B43" s="726"/>
      <c r="C43" s="727"/>
      <c r="D43" s="734"/>
    </row>
    <row r="44" spans="1:4" s="25" customFormat="1" ht="12.75">
      <c r="A44" s="729" t="s">
        <v>229</v>
      </c>
      <c r="B44" s="730">
        <f>SUM(B45:B50)</f>
        <v>107209</v>
      </c>
      <c r="C44" s="731">
        <f>SUM(C45:C48)</f>
        <v>96209</v>
      </c>
      <c r="D44" s="730">
        <f>SUM(D45:D48)</f>
        <v>38720</v>
      </c>
    </row>
    <row r="45" spans="1:4" s="25" customFormat="1" ht="12.75">
      <c r="A45" s="725" t="s">
        <v>190</v>
      </c>
      <c r="B45" s="726">
        <v>72489</v>
      </c>
      <c r="C45" s="727">
        <v>72489</v>
      </c>
      <c r="D45" s="734">
        <v>15000</v>
      </c>
    </row>
    <row r="46" spans="1:4" s="25" customFormat="1" ht="12.75">
      <c r="A46" s="725" t="s">
        <v>256</v>
      </c>
      <c r="B46" s="726">
        <v>2000</v>
      </c>
      <c r="C46" s="727">
        <v>2000</v>
      </c>
      <c r="D46" s="734">
        <v>2000</v>
      </c>
    </row>
    <row r="47" spans="1:4" s="25" customFormat="1" ht="25.5">
      <c r="A47" s="725" t="s">
        <v>458</v>
      </c>
      <c r="B47" s="726">
        <v>21720</v>
      </c>
      <c r="C47" s="727">
        <v>21720</v>
      </c>
      <c r="D47" s="734">
        <v>21720</v>
      </c>
    </row>
    <row r="48" spans="1:4" s="25" customFormat="1" ht="12.75" customHeight="1">
      <c r="A48" s="725" t="s">
        <v>522</v>
      </c>
      <c r="B48" s="726">
        <v>11000</v>
      </c>
      <c r="C48" s="727">
        <v>0</v>
      </c>
      <c r="D48" s="732">
        <v>0</v>
      </c>
    </row>
    <row r="49" spans="1:4" s="25" customFormat="1" ht="25.5" customHeight="1">
      <c r="A49" s="729" t="s">
        <v>717</v>
      </c>
      <c r="B49" s="726"/>
      <c r="C49" s="731">
        <f>SUM(C39,C44)</f>
        <v>99008</v>
      </c>
      <c r="D49" s="730">
        <f>SUM(D39,D44)</f>
        <v>43249</v>
      </c>
    </row>
    <row r="50" spans="1:4" s="25" customFormat="1" ht="12.75">
      <c r="A50" s="725"/>
      <c r="B50" s="726"/>
      <c r="C50" s="727"/>
      <c r="D50" s="734"/>
    </row>
    <row r="51" spans="1:4" s="25" customFormat="1" ht="12.75">
      <c r="A51" s="729" t="s">
        <v>240</v>
      </c>
      <c r="B51" s="730">
        <f>SUM(B52:B67)</f>
        <v>1588094</v>
      </c>
      <c r="C51" s="731">
        <f>SUM(C52:C68)</f>
        <v>1447536</v>
      </c>
      <c r="D51" s="730">
        <f>SUM(D52:D68)</f>
        <v>1344084</v>
      </c>
    </row>
    <row r="52" spans="1:4" s="25" customFormat="1" ht="12.75">
      <c r="A52" s="725" t="s">
        <v>7</v>
      </c>
      <c r="B52" s="726">
        <v>41138</v>
      </c>
      <c r="C52" s="736">
        <v>41138</v>
      </c>
      <c r="D52" s="734">
        <v>26158</v>
      </c>
    </row>
    <row r="53" spans="1:4" s="25" customFormat="1" ht="12.75">
      <c r="A53" s="725" t="s">
        <v>463</v>
      </c>
      <c r="B53" s="726">
        <v>40430</v>
      </c>
      <c r="C53" s="736">
        <v>40430</v>
      </c>
      <c r="D53" s="734">
        <v>30928</v>
      </c>
    </row>
    <row r="54" spans="1:4" s="25" customFormat="1" ht="12.75">
      <c r="A54" s="725" t="s">
        <v>746</v>
      </c>
      <c r="B54" s="726">
        <v>622234</v>
      </c>
      <c r="C54" s="727">
        <v>605241</v>
      </c>
      <c r="D54" s="734">
        <v>600486</v>
      </c>
    </row>
    <row r="55" spans="1:4" s="25" customFormat="1" ht="15.75" customHeight="1">
      <c r="A55" s="725" t="s">
        <v>747</v>
      </c>
      <c r="B55" s="726">
        <v>108756</v>
      </c>
      <c r="C55" s="727">
        <v>105973</v>
      </c>
      <c r="D55" s="734">
        <v>104805</v>
      </c>
    </row>
    <row r="56" spans="1:4" s="25" customFormat="1" ht="25.5">
      <c r="A56" s="725" t="s">
        <v>8</v>
      </c>
      <c r="B56" s="726">
        <v>27961</v>
      </c>
      <c r="C56" s="727">
        <v>18058</v>
      </c>
      <c r="D56" s="734">
        <v>18058</v>
      </c>
    </row>
    <row r="57" spans="1:4" s="25" customFormat="1" ht="25.5">
      <c r="A57" s="725" t="s">
        <v>464</v>
      </c>
      <c r="B57" s="726">
        <v>6498</v>
      </c>
      <c r="C57" s="727">
        <v>6498</v>
      </c>
      <c r="D57" s="734">
        <v>6498</v>
      </c>
    </row>
    <row r="58" spans="1:4" s="25" customFormat="1" ht="12.75">
      <c r="A58" s="725" t="s">
        <v>10</v>
      </c>
      <c r="B58" s="726">
        <v>64612</v>
      </c>
      <c r="C58" s="727">
        <v>48471</v>
      </c>
      <c r="D58" s="734">
        <v>45351</v>
      </c>
    </row>
    <row r="59" spans="1:4" s="25" customFormat="1" ht="12.75">
      <c r="A59" s="725" t="s">
        <v>75</v>
      </c>
      <c r="B59" s="726">
        <v>21960</v>
      </c>
      <c r="C59" s="727">
        <v>21960</v>
      </c>
      <c r="D59" s="734">
        <v>21960</v>
      </c>
    </row>
    <row r="60" spans="1:4" s="25" customFormat="1" ht="12.75">
      <c r="A60" s="725" t="s">
        <v>9</v>
      </c>
      <c r="B60" s="726">
        <v>90625</v>
      </c>
      <c r="C60" s="727">
        <v>0</v>
      </c>
      <c r="D60" s="734"/>
    </row>
    <row r="61" spans="1:4" s="25" customFormat="1" ht="25.5">
      <c r="A61" s="725" t="s">
        <v>451</v>
      </c>
      <c r="B61" s="726">
        <v>17987</v>
      </c>
      <c r="C61" s="727">
        <v>5137</v>
      </c>
      <c r="D61" s="734">
        <v>5137</v>
      </c>
    </row>
    <row r="62" spans="1:4" s="25" customFormat="1" ht="12.75">
      <c r="A62" s="725" t="s">
        <v>76</v>
      </c>
      <c r="B62" s="726">
        <v>35494</v>
      </c>
      <c r="C62" s="727">
        <v>35494</v>
      </c>
      <c r="D62" s="734">
        <v>35494</v>
      </c>
    </row>
    <row r="63" spans="1:4" s="25" customFormat="1" ht="12.75">
      <c r="A63" s="725" t="s">
        <v>21</v>
      </c>
      <c r="B63" s="726">
        <v>12000</v>
      </c>
      <c r="C63" s="727">
        <v>0</v>
      </c>
      <c r="D63" s="734"/>
    </row>
    <row r="64" spans="1:4" s="25" customFormat="1" ht="12.75">
      <c r="A64" s="725" t="s">
        <v>139</v>
      </c>
      <c r="B64" s="726">
        <v>267151</v>
      </c>
      <c r="C64" s="727">
        <v>267151</v>
      </c>
      <c r="D64" s="734">
        <v>267151</v>
      </c>
    </row>
    <row r="65" spans="1:4" ht="12.75">
      <c r="A65" s="725" t="s">
        <v>140</v>
      </c>
      <c r="B65" s="726">
        <v>225766</v>
      </c>
      <c r="C65" s="727">
        <v>218264</v>
      </c>
      <c r="D65" s="734">
        <v>148337</v>
      </c>
    </row>
    <row r="66" spans="1:4" s="25" customFormat="1" ht="12" customHeight="1">
      <c r="A66" s="725" t="s">
        <v>462</v>
      </c>
      <c r="B66" s="726">
        <v>2900</v>
      </c>
      <c r="C66" s="727">
        <v>0</v>
      </c>
      <c r="D66" s="734">
        <v>0</v>
      </c>
    </row>
    <row r="67" spans="1:4" ht="12.75">
      <c r="A67" s="725" t="s">
        <v>148</v>
      </c>
      <c r="B67" s="726">
        <v>2582</v>
      </c>
      <c r="C67" s="727">
        <v>456</v>
      </c>
      <c r="D67" s="734">
        <v>456</v>
      </c>
    </row>
    <row r="68" spans="1:4" ht="25.5">
      <c r="A68" s="725" t="s">
        <v>749</v>
      </c>
      <c r="B68" s="726"/>
      <c r="C68" s="727">
        <v>33265</v>
      </c>
      <c r="D68" s="734">
        <v>33265</v>
      </c>
    </row>
    <row r="69" spans="1:4" s="25" customFormat="1" ht="12.75">
      <c r="A69" s="729" t="s">
        <v>239</v>
      </c>
      <c r="B69" s="730">
        <f>SUM(B73:B73)</f>
        <v>0</v>
      </c>
      <c r="C69" s="731">
        <f>SUM(C70)</f>
        <v>380</v>
      </c>
      <c r="D69" s="730">
        <f>SUM(D70)</f>
        <v>380</v>
      </c>
    </row>
    <row r="70" spans="1:4" ht="12.75">
      <c r="A70" s="725" t="s">
        <v>712</v>
      </c>
      <c r="B70" s="730"/>
      <c r="C70" s="727">
        <v>380</v>
      </c>
      <c r="D70" s="734">
        <v>380</v>
      </c>
    </row>
    <row r="71" spans="1:4" ht="12.75">
      <c r="A71" s="725"/>
      <c r="B71" s="730"/>
      <c r="C71" s="735"/>
      <c r="D71" s="732"/>
    </row>
    <row r="72" spans="1:4" ht="12.75">
      <c r="A72" s="729" t="s">
        <v>713</v>
      </c>
      <c r="B72" s="730"/>
      <c r="C72" s="731">
        <f>SUM(C51,C69)</f>
        <v>1447916</v>
      </c>
      <c r="D72" s="730">
        <f>SUM(D51,D69)</f>
        <v>1344464</v>
      </c>
    </row>
    <row r="73" spans="1:4" s="25" customFormat="1" ht="12.75">
      <c r="A73" s="725"/>
      <c r="B73" s="726"/>
      <c r="C73" s="727"/>
      <c r="D73" s="734"/>
    </row>
    <row r="74" spans="1:4" ht="12.75">
      <c r="A74" s="729" t="s">
        <v>237</v>
      </c>
      <c r="B74" s="730">
        <f>SUM(B75:B75)</f>
        <v>600</v>
      </c>
      <c r="C74" s="731">
        <f>SUM(C75:C76)</f>
        <v>2962</v>
      </c>
      <c r="D74" s="730">
        <f>SUM(D75:D76)</f>
        <v>2962</v>
      </c>
    </row>
    <row r="75" spans="1:4" ht="25.5">
      <c r="A75" s="725" t="s">
        <v>244</v>
      </c>
      <c r="B75" s="726">
        <v>600</v>
      </c>
      <c r="C75" s="727">
        <v>600</v>
      </c>
      <c r="D75" s="734">
        <v>600</v>
      </c>
    </row>
    <row r="76" spans="1:4" ht="12.75">
      <c r="A76" s="725" t="s">
        <v>750</v>
      </c>
      <c r="B76" s="726"/>
      <c r="C76" s="727">
        <v>2362</v>
      </c>
      <c r="D76" s="734">
        <v>2362</v>
      </c>
    </row>
    <row r="77" spans="1:4" ht="12.75">
      <c r="A77" s="729" t="s">
        <v>238</v>
      </c>
      <c r="B77" s="730">
        <f>SUM(B78:B80)</f>
        <v>1300</v>
      </c>
      <c r="C77" s="731">
        <f>SUM(C78:C80)</f>
        <v>29706</v>
      </c>
      <c r="D77" s="730">
        <f>SUM(D78:D80)</f>
        <v>29706</v>
      </c>
    </row>
    <row r="78" spans="1:4" s="23" customFormat="1" ht="12.75">
      <c r="A78" s="725" t="s">
        <v>456</v>
      </c>
      <c r="B78" s="726">
        <v>1300</v>
      </c>
      <c r="C78" s="727">
        <v>1300</v>
      </c>
      <c r="D78" s="734">
        <v>1300</v>
      </c>
    </row>
    <row r="79" spans="1:4" s="25" customFormat="1" ht="12.75">
      <c r="A79" s="725" t="s">
        <v>714</v>
      </c>
      <c r="B79" s="726"/>
      <c r="C79" s="727">
        <v>12770</v>
      </c>
      <c r="D79" s="734">
        <v>12770</v>
      </c>
    </row>
    <row r="80" spans="1:4" s="62" customFormat="1" ht="14.25" customHeight="1">
      <c r="A80" s="725" t="s">
        <v>751</v>
      </c>
      <c r="B80" s="726"/>
      <c r="C80" s="727">
        <v>15636</v>
      </c>
      <c r="D80" s="734">
        <v>15636</v>
      </c>
    </row>
    <row r="81" spans="1:4" ht="12.75">
      <c r="A81" s="729" t="s">
        <v>459</v>
      </c>
      <c r="B81" s="730">
        <f>SUM(B82:B83)</f>
        <v>28075</v>
      </c>
      <c r="C81" s="731">
        <f>SUM(C82:C83)</f>
        <v>28075</v>
      </c>
      <c r="D81" s="730">
        <f>SUM(D82:D83)</f>
        <v>1000</v>
      </c>
    </row>
    <row r="82" spans="1:4" ht="12.75">
      <c r="A82" s="725" t="s">
        <v>460</v>
      </c>
      <c r="B82" s="726">
        <v>27075</v>
      </c>
      <c r="C82" s="727">
        <v>27075</v>
      </c>
      <c r="D82" s="734">
        <v>0</v>
      </c>
    </row>
    <row r="83" spans="1:4" s="35" customFormat="1" ht="12.75">
      <c r="A83" s="725" t="s">
        <v>461</v>
      </c>
      <c r="B83" s="726">
        <v>1000</v>
      </c>
      <c r="C83" s="727">
        <v>1000</v>
      </c>
      <c r="D83" s="734">
        <v>1000</v>
      </c>
    </row>
    <row r="84" spans="1:4" ht="12.75">
      <c r="A84" s="725"/>
      <c r="B84" s="726"/>
      <c r="C84" s="727"/>
      <c r="D84" s="734"/>
    </row>
    <row r="85" spans="1:4" ht="12.75">
      <c r="A85" s="729" t="s">
        <v>718</v>
      </c>
      <c r="B85" s="726"/>
      <c r="C85" s="731">
        <f>SUM(C74,C77,C81)</f>
        <v>60743</v>
      </c>
      <c r="D85" s="730">
        <f>SUM(D74,D77,D81)</f>
        <v>33668</v>
      </c>
    </row>
    <row r="86" spans="1:4" ht="12.75">
      <c r="A86" s="725"/>
      <c r="B86" s="726"/>
      <c r="C86" s="727"/>
      <c r="D86" s="734"/>
    </row>
    <row r="87" spans="1:4" ht="35.25" customHeight="1" thickBot="1">
      <c r="A87" s="737" t="s">
        <v>254</v>
      </c>
      <c r="B87" s="738">
        <f>SUM(B9,B39,B44,B51,B74,B77,B81)</f>
        <v>1897556</v>
      </c>
      <c r="C87" s="739">
        <f>SUM(C37,C49,C72,C85)</f>
        <v>1962087</v>
      </c>
      <c r="D87" s="738">
        <f>SUM(D37,D49,D72,D85)</f>
        <v>1843925</v>
      </c>
    </row>
    <row r="88" spans="1:4" ht="13.5" thickBot="1">
      <c r="A88" s="120"/>
      <c r="B88" s="144"/>
      <c r="C88" s="514"/>
      <c r="D88" s="740"/>
    </row>
    <row r="89" spans="1:4" ht="25.5">
      <c r="A89" s="721" t="s">
        <v>168</v>
      </c>
      <c r="B89" s="722" t="s">
        <v>4</v>
      </c>
      <c r="C89" s="741" t="s">
        <v>733</v>
      </c>
      <c r="D89" s="742" t="s">
        <v>799</v>
      </c>
    </row>
    <row r="90" spans="1:4" ht="12.75">
      <c r="A90" s="725"/>
      <c r="B90" s="726"/>
      <c r="C90" s="727"/>
      <c r="D90" s="734"/>
    </row>
    <row r="91" spans="1:4" ht="12.75">
      <c r="A91" s="743" t="s">
        <v>645</v>
      </c>
      <c r="B91" s="744">
        <f>SUM(B93,B101,B98)</f>
        <v>15925</v>
      </c>
      <c r="C91" s="745">
        <f>SUM(C93,C101,C98)</f>
        <v>16049</v>
      </c>
      <c r="D91" s="744">
        <f>SUM(D93,D101,D98)</f>
        <v>17030</v>
      </c>
    </row>
    <row r="92" spans="1:4" ht="12.75">
      <c r="A92" s="743"/>
      <c r="B92" s="726"/>
      <c r="C92" s="727"/>
      <c r="D92" s="734"/>
    </row>
    <row r="93" spans="1:4" ht="12.75">
      <c r="A93" s="729" t="s">
        <v>241</v>
      </c>
      <c r="B93" s="730">
        <f>SUM(B94:B94)</f>
        <v>0</v>
      </c>
      <c r="C93" s="731">
        <f>SUM(C94:C95)</f>
        <v>124</v>
      </c>
      <c r="D93" s="730">
        <f>SUM(D94:D97)</f>
        <v>7383</v>
      </c>
    </row>
    <row r="94" spans="1:4" ht="12.75">
      <c r="A94" s="725" t="s">
        <v>708</v>
      </c>
      <c r="B94" s="726"/>
      <c r="C94" s="727">
        <v>68</v>
      </c>
      <c r="D94" s="734">
        <v>68</v>
      </c>
    </row>
    <row r="95" spans="1:4" s="35" customFormat="1" ht="12.75">
      <c r="A95" s="725" t="s">
        <v>752</v>
      </c>
      <c r="B95" s="726"/>
      <c r="C95" s="727">
        <v>56</v>
      </c>
      <c r="D95" s="734">
        <v>178</v>
      </c>
    </row>
    <row r="96" spans="1:4" ht="12.75">
      <c r="A96" s="776" t="s">
        <v>308</v>
      </c>
      <c r="B96" s="777"/>
      <c r="C96" s="778"/>
      <c r="D96" s="779">
        <v>6278</v>
      </c>
    </row>
    <row r="97" spans="1:4" ht="12.75">
      <c r="A97" s="776" t="s">
        <v>821</v>
      </c>
      <c r="B97" s="777"/>
      <c r="C97" s="778"/>
      <c r="D97" s="779">
        <v>859</v>
      </c>
    </row>
    <row r="98" spans="1:4" ht="12.75">
      <c r="A98" s="729" t="s">
        <v>240</v>
      </c>
      <c r="B98" s="730">
        <f>SUM(B99)</f>
        <v>14935</v>
      </c>
      <c r="C98" s="731">
        <f>SUM(C99)</f>
        <v>14935</v>
      </c>
      <c r="D98" s="730">
        <f>SUM(D99)</f>
        <v>8657</v>
      </c>
    </row>
    <row r="99" spans="1:4" ht="12.75">
      <c r="A99" s="725" t="s">
        <v>308</v>
      </c>
      <c r="B99" s="726">
        <v>14935</v>
      </c>
      <c r="C99" s="727">
        <v>14935</v>
      </c>
      <c r="D99" s="734">
        <v>8657</v>
      </c>
    </row>
    <row r="100" spans="1:4" ht="12.75">
      <c r="A100" s="725"/>
      <c r="B100" s="726"/>
      <c r="C100" s="727"/>
      <c r="D100" s="734"/>
    </row>
    <row r="101" spans="1:4" ht="12.75">
      <c r="A101" s="729" t="s">
        <v>238</v>
      </c>
      <c r="B101" s="730">
        <f>SUM(B102:B104)</f>
        <v>990</v>
      </c>
      <c r="C101" s="731">
        <f>SUM(C102:C104)</f>
        <v>990</v>
      </c>
      <c r="D101" s="730">
        <f>SUM(D102:D104)</f>
        <v>990</v>
      </c>
    </row>
    <row r="102" spans="1:4" ht="12.75">
      <c r="A102" s="725" t="s">
        <v>257</v>
      </c>
      <c r="B102" s="726">
        <v>800</v>
      </c>
      <c r="C102" s="727">
        <v>800</v>
      </c>
      <c r="D102" s="734">
        <v>800</v>
      </c>
    </row>
    <row r="103" spans="1:4" ht="12.75">
      <c r="A103" s="725" t="s">
        <v>258</v>
      </c>
      <c r="B103" s="726">
        <v>190</v>
      </c>
      <c r="C103" s="727">
        <v>190</v>
      </c>
      <c r="D103" s="734">
        <v>190</v>
      </c>
    </row>
    <row r="104" spans="1:4" ht="12.75">
      <c r="A104" s="725"/>
      <c r="B104" s="726"/>
      <c r="C104" s="727"/>
      <c r="D104" s="734"/>
    </row>
    <row r="105" spans="1:4" ht="12.75">
      <c r="A105" s="743" t="s">
        <v>649</v>
      </c>
      <c r="B105" s="744">
        <f>SUM(B107)</f>
        <v>7545</v>
      </c>
      <c r="C105" s="745">
        <f>SUM(C107)</f>
        <v>8278</v>
      </c>
      <c r="D105" s="744">
        <f>SUM(D107)</f>
        <v>8378</v>
      </c>
    </row>
    <row r="106" spans="1:4" ht="12.75">
      <c r="A106" s="743"/>
      <c r="B106" s="726"/>
      <c r="C106" s="727"/>
      <c r="D106" s="734"/>
    </row>
    <row r="107" spans="1:4" s="35" customFormat="1" ht="12.75">
      <c r="A107" s="729" t="s">
        <v>241</v>
      </c>
      <c r="B107" s="730">
        <f>SUM(B108)</f>
        <v>7545</v>
      </c>
      <c r="C107" s="731">
        <f>SUM(C108:C109)</f>
        <v>8278</v>
      </c>
      <c r="D107" s="730">
        <f>SUM(D108:D109)</f>
        <v>8378</v>
      </c>
    </row>
    <row r="108" spans="1:4" ht="12.75">
      <c r="A108" s="725" t="s">
        <v>99</v>
      </c>
      <c r="B108" s="726">
        <v>7545</v>
      </c>
      <c r="C108" s="727">
        <v>8227</v>
      </c>
      <c r="D108" s="734">
        <v>8327</v>
      </c>
    </row>
    <row r="109" spans="1:4" s="25" customFormat="1" ht="12.75">
      <c r="A109" s="725" t="s">
        <v>708</v>
      </c>
      <c r="B109" s="726"/>
      <c r="C109" s="727">
        <v>51</v>
      </c>
      <c r="D109" s="734">
        <v>51</v>
      </c>
    </row>
    <row r="110" spans="1:4" ht="12.75">
      <c r="A110" s="725"/>
      <c r="B110" s="726"/>
      <c r="C110" s="727"/>
      <c r="D110" s="734"/>
    </row>
    <row r="111" spans="1:4" ht="12.75">
      <c r="A111" s="743" t="s">
        <v>647</v>
      </c>
      <c r="B111" s="744">
        <f>SUM(B113)</f>
        <v>9289</v>
      </c>
      <c r="C111" s="745">
        <f>SUM(C113)</f>
        <v>9340</v>
      </c>
      <c r="D111" s="744">
        <f>SUM(D113)</f>
        <v>9340</v>
      </c>
    </row>
    <row r="112" spans="1:4" s="33" customFormat="1" ht="12.75">
      <c r="A112" s="743"/>
      <c r="B112" s="726"/>
      <c r="C112" s="727"/>
      <c r="D112" s="734"/>
    </row>
    <row r="113" spans="1:4" ht="12.75">
      <c r="A113" s="729" t="s">
        <v>241</v>
      </c>
      <c r="B113" s="730">
        <f>SUM(B114)</f>
        <v>9289</v>
      </c>
      <c r="C113" s="731">
        <f>SUM(C114:C115)</f>
        <v>9340</v>
      </c>
      <c r="D113" s="730">
        <f>SUM(D114:D115)</f>
        <v>9340</v>
      </c>
    </row>
    <row r="114" spans="1:4" s="33" customFormat="1" ht="12.75">
      <c r="A114" s="725" t="s">
        <v>100</v>
      </c>
      <c r="B114" s="726">
        <v>9289</v>
      </c>
      <c r="C114" s="727">
        <v>9289</v>
      </c>
      <c r="D114" s="734">
        <v>9289</v>
      </c>
    </row>
    <row r="115" spans="1:4" ht="12.75">
      <c r="A115" s="725" t="s">
        <v>708</v>
      </c>
      <c r="B115" s="726"/>
      <c r="C115" s="727">
        <v>51</v>
      </c>
      <c r="D115" s="734">
        <v>51</v>
      </c>
    </row>
    <row r="116" spans="1:4" ht="12" customHeight="1">
      <c r="A116" s="725"/>
      <c r="B116" s="726"/>
      <c r="C116" s="727"/>
      <c r="D116" s="734"/>
    </row>
    <row r="117" spans="1:4" ht="12.75">
      <c r="A117" s="743" t="s">
        <v>651</v>
      </c>
      <c r="B117" s="744">
        <f>SUM(B119)</f>
        <v>3329</v>
      </c>
      <c r="C117" s="745">
        <f>SUM(C119)</f>
        <v>2895</v>
      </c>
      <c r="D117" s="744">
        <f>SUM(D119)</f>
        <v>2732</v>
      </c>
    </row>
    <row r="118" spans="1:4" ht="12.75">
      <c r="A118" s="743"/>
      <c r="B118" s="726"/>
      <c r="C118" s="727"/>
      <c r="D118" s="734"/>
    </row>
    <row r="119" spans="1:4" ht="12.75">
      <c r="A119" s="729" t="s">
        <v>241</v>
      </c>
      <c r="B119" s="730">
        <f>SUM(B120)</f>
        <v>3329</v>
      </c>
      <c r="C119" s="731">
        <f>SUM(C120)</f>
        <v>2895</v>
      </c>
      <c r="D119" s="730">
        <f>SUM(D120)</f>
        <v>2732</v>
      </c>
    </row>
    <row r="120" spans="1:4" ht="12.75">
      <c r="A120" s="725" t="s">
        <v>101</v>
      </c>
      <c r="B120" s="726">
        <v>3329</v>
      </c>
      <c r="C120" s="727">
        <v>2895</v>
      </c>
      <c r="D120" s="734">
        <v>2732</v>
      </c>
    </row>
    <row r="121" spans="1:4" ht="12.75">
      <c r="A121" s="725"/>
      <c r="B121" s="726"/>
      <c r="C121" s="727"/>
      <c r="D121" s="734"/>
    </row>
    <row r="122" spans="1:4" ht="13.5">
      <c r="A122" s="746" t="s">
        <v>242</v>
      </c>
      <c r="B122" s="747">
        <f>SUM(B93,B107,B113,B119)</f>
        <v>20163</v>
      </c>
      <c r="C122" s="748">
        <f>SUM(C93,C107,C113,C119)</f>
        <v>20637</v>
      </c>
      <c r="D122" s="747">
        <f>SUM(D93,D107,D113,D119)</f>
        <v>27833</v>
      </c>
    </row>
    <row r="123" spans="1:4" ht="12.75">
      <c r="A123" s="725"/>
      <c r="B123" s="726"/>
      <c r="C123" s="727"/>
      <c r="D123" s="734"/>
    </row>
    <row r="124" spans="1:4" ht="13.5">
      <c r="A124" s="746" t="s">
        <v>666</v>
      </c>
      <c r="B124" s="747">
        <f>SUM(B101,B98)</f>
        <v>15925</v>
      </c>
      <c r="C124" s="748">
        <f>SUM(C101,C98)</f>
        <v>15925</v>
      </c>
      <c r="D124" s="747">
        <f>SUM(D101,D98)</f>
        <v>9647</v>
      </c>
    </row>
    <row r="125" spans="1:4" ht="12.75">
      <c r="A125" s="725"/>
      <c r="B125" s="730"/>
      <c r="C125" s="727"/>
      <c r="D125" s="734"/>
    </row>
    <row r="126" spans="1:4" ht="37.5" customHeight="1" thickBot="1">
      <c r="A126" s="737" t="s">
        <v>255</v>
      </c>
      <c r="B126" s="738">
        <f>SUM(B122,B124)</f>
        <v>36088</v>
      </c>
      <c r="C126" s="739">
        <f>SUM(C122,C124)</f>
        <v>36562</v>
      </c>
      <c r="D126" s="738">
        <f>SUM(D122,D124)</f>
        <v>37480</v>
      </c>
    </row>
  </sheetData>
  <sheetProtection/>
  <mergeCells count="2">
    <mergeCell ref="A2:D2"/>
    <mergeCell ref="A3:D3"/>
  </mergeCells>
  <printOptions horizontalCentered="1"/>
  <pageMargins left="0.4724409448818898" right="0.2362204724409449" top="0.9448818897637796" bottom="0.7480314960629921" header="0.5118110236220472" footer="0.5118110236220472"/>
  <pageSetup fitToHeight="0" fitToWidth="1" horizontalDpi="600" verticalDpi="600" orientation="portrait" paperSize="9" scale="74" r:id="rId1"/>
  <headerFooter alignWithMargins="0">
    <oddHeader>&amp;L12. melléklet a 28/2015.(XII.18.)    önkormányzati rendelethez
12. melléklet az 1/2015.(I.30.) önkormányzati rendelethez</oddHeader>
  </headerFooter>
  <rowBreaks count="1" manualBreakCount="1">
    <brk id="59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workbookViewId="0" topLeftCell="A7">
      <selection activeCell="A1" sqref="A1:D1"/>
    </sheetView>
  </sheetViews>
  <sheetFormatPr defaultColWidth="9.00390625" defaultRowHeight="12.75"/>
  <cols>
    <col min="1" max="1" width="46.875" style="53" customWidth="1"/>
    <col min="2" max="2" width="16.75390625" style="53" customWidth="1"/>
    <col min="3" max="3" width="12.25390625" style="53" customWidth="1"/>
    <col min="4" max="4" width="11.875" style="53" customWidth="1"/>
    <col min="5" max="16384" width="9.125" style="53" customWidth="1"/>
  </cols>
  <sheetData>
    <row r="1" spans="1:4" ht="15" customHeight="1">
      <c r="A1" s="1263" t="s">
        <v>452</v>
      </c>
      <c r="B1" s="1263"/>
      <c r="C1" s="1263"/>
      <c r="D1" s="1263"/>
    </row>
    <row r="2" spans="1:2" ht="14.25" customHeight="1" thickBot="1">
      <c r="A2" s="54"/>
      <c r="B2" s="55"/>
    </row>
    <row r="3" spans="1:4" ht="22.5" customHeight="1" thickBot="1">
      <c r="A3" s="1252" t="s">
        <v>453</v>
      </c>
      <c r="B3" s="1256" t="s">
        <v>454</v>
      </c>
      <c r="C3" s="1257"/>
      <c r="D3" s="1258"/>
    </row>
    <row r="4" spans="1:4" ht="15" customHeight="1" thickBot="1">
      <c r="A4" s="1253"/>
      <c r="B4" s="499" t="s">
        <v>4</v>
      </c>
      <c r="C4" s="500" t="s">
        <v>733</v>
      </c>
      <c r="D4" s="664" t="s">
        <v>799</v>
      </c>
    </row>
    <row r="5" spans="1:4" ht="15" customHeight="1">
      <c r="A5" s="56" t="s">
        <v>500</v>
      </c>
      <c r="B5" s="269">
        <v>22</v>
      </c>
      <c r="C5" s="492">
        <v>22</v>
      </c>
      <c r="D5" s="784">
        <v>22</v>
      </c>
    </row>
    <row r="6" spans="1:4" ht="15" customHeight="1">
      <c r="A6" s="57" t="s">
        <v>501</v>
      </c>
      <c r="B6" s="253">
        <v>18.75</v>
      </c>
      <c r="C6" s="492">
        <v>18.75</v>
      </c>
      <c r="D6" s="784">
        <v>18.75</v>
      </c>
    </row>
    <row r="7" spans="1:4" ht="15" customHeight="1">
      <c r="A7" s="57" t="s">
        <v>502</v>
      </c>
      <c r="B7" s="253">
        <v>3.5</v>
      </c>
      <c r="C7" s="492">
        <v>3.5</v>
      </c>
      <c r="D7" s="784">
        <v>3.5</v>
      </c>
    </row>
    <row r="8" spans="1:4" s="135" customFormat="1" ht="15" customHeight="1">
      <c r="A8" s="260" t="s">
        <v>503</v>
      </c>
      <c r="B8" s="254">
        <f>SUM(B6:B7)</f>
        <v>22.25</v>
      </c>
      <c r="C8" s="492">
        <v>22.25</v>
      </c>
      <c r="D8" s="784">
        <v>22.25</v>
      </c>
    </row>
    <row r="9" spans="1:4" ht="15" customHeight="1">
      <c r="A9" s="57" t="s">
        <v>504</v>
      </c>
      <c r="B9" s="253">
        <v>23</v>
      </c>
      <c r="C9" s="492">
        <v>23</v>
      </c>
      <c r="D9" s="784">
        <v>23</v>
      </c>
    </row>
    <row r="10" spans="1:4" ht="15" customHeight="1">
      <c r="A10" s="57" t="s">
        <v>505</v>
      </c>
      <c r="B10" s="253">
        <v>17.5</v>
      </c>
      <c r="C10" s="492">
        <v>17.5</v>
      </c>
      <c r="D10" s="784">
        <v>17.5</v>
      </c>
    </row>
    <row r="11" spans="1:4" ht="15" customHeight="1">
      <c r="A11" s="57" t="s">
        <v>506</v>
      </c>
      <c r="B11" s="253">
        <v>17</v>
      </c>
      <c r="C11" s="492">
        <v>17</v>
      </c>
      <c r="D11" s="784">
        <v>17</v>
      </c>
    </row>
    <row r="12" spans="1:4" ht="15" customHeight="1">
      <c r="A12" s="57" t="s">
        <v>507</v>
      </c>
      <c r="B12" s="253">
        <v>7</v>
      </c>
      <c r="C12" s="492">
        <v>7</v>
      </c>
      <c r="D12" s="784">
        <v>7</v>
      </c>
    </row>
    <row r="13" spans="1:4" s="135" customFormat="1" ht="15" customHeight="1">
      <c r="A13" s="260" t="s">
        <v>508</v>
      </c>
      <c r="B13" s="254">
        <f>SUM(B11:B12)</f>
        <v>24</v>
      </c>
      <c r="C13" s="492">
        <v>24</v>
      </c>
      <c r="D13" s="784">
        <v>24</v>
      </c>
    </row>
    <row r="14" spans="1:4" s="135" customFormat="1" ht="15" customHeight="1">
      <c r="A14" s="260" t="s">
        <v>509</v>
      </c>
      <c r="B14" s="254">
        <f>SUM(B5,B8,B9,B10,B13)</f>
        <v>108.75</v>
      </c>
      <c r="C14" s="254">
        <f>SUM(C5,C8,C9,C10,C13)</f>
        <v>108.75</v>
      </c>
      <c r="D14" s="785">
        <f>SUM(D5,D8,D9,D10,D13)</f>
        <v>108.75</v>
      </c>
    </row>
    <row r="15" spans="1:4" ht="15" customHeight="1">
      <c r="A15" s="57" t="s">
        <v>455</v>
      </c>
      <c r="B15" s="253">
        <v>34</v>
      </c>
      <c r="C15" s="492">
        <v>34</v>
      </c>
      <c r="D15" s="784">
        <v>34</v>
      </c>
    </row>
    <row r="16" spans="1:4" ht="15.75" customHeight="1">
      <c r="A16" s="57" t="s">
        <v>546</v>
      </c>
      <c r="B16" s="253">
        <v>9.5</v>
      </c>
      <c r="C16" s="492">
        <v>9.5</v>
      </c>
      <c r="D16" s="784">
        <v>9.5</v>
      </c>
    </row>
    <row r="17" spans="1:4" ht="15" customHeight="1">
      <c r="A17" s="57" t="s">
        <v>555</v>
      </c>
      <c r="B17" s="253">
        <v>20.5</v>
      </c>
      <c r="C17" s="492">
        <v>20.5</v>
      </c>
      <c r="D17" s="784">
        <v>20.5</v>
      </c>
    </row>
    <row r="18" spans="1:4" ht="15" customHeight="1">
      <c r="A18" s="57" t="s">
        <v>547</v>
      </c>
      <c r="B18" s="253">
        <v>8</v>
      </c>
      <c r="C18" s="492">
        <v>10</v>
      </c>
      <c r="D18" s="784">
        <v>10</v>
      </c>
    </row>
    <row r="19" spans="1:4" ht="15" customHeight="1">
      <c r="A19" s="447" t="s">
        <v>548</v>
      </c>
      <c r="B19" s="253"/>
      <c r="C19" s="492">
        <v>38</v>
      </c>
      <c r="D19" s="784">
        <v>38</v>
      </c>
    </row>
    <row r="20" spans="1:4" s="61" customFormat="1" ht="15" customHeight="1">
      <c r="A20" s="261" t="s">
        <v>302</v>
      </c>
      <c r="B20" s="255">
        <f>SUM(B14,B15,B16,B17,B18)</f>
        <v>180.75</v>
      </c>
      <c r="C20" s="493">
        <f>SUM(C14,C15,C16,C17,C18,C19)</f>
        <v>220.75</v>
      </c>
      <c r="D20" s="786">
        <f>SUM(D14,D15,D16,D17,D18,D19)</f>
        <v>220.75</v>
      </c>
    </row>
    <row r="21" spans="1:4" s="61" customFormat="1" ht="15" customHeight="1">
      <c r="A21" s="262" t="s">
        <v>548</v>
      </c>
      <c r="B21" s="255">
        <v>40</v>
      </c>
      <c r="C21" s="493">
        <v>0</v>
      </c>
      <c r="D21" s="786">
        <v>0</v>
      </c>
    </row>
    <row r="22" spans="1:4" s="136" customFormat="1" ht="15" customHeight="1">
      <c r="A22" s="263" t="s">
        <v>549</v>
      </c>
      <c r="B22" s="256">
        <f>SUM(B20:B21)</f>
        <v>220.75</v>
      </c>
      <c r="C22" s="494">
        <f>SUM(C20:C21)</f>
        <v>220.75</v>
      </c>
      <c r="D22" s="787">
        <f>SUM(D20:D21)</f>
        <v>220.75</v>
      </c>
    </row>
    <row r="23" spans="1:4" ht="15" customHeight="1">
      <c r="A23" s="57"/>
      <c r="B23" s="253"/>
      <c r="C23" s="495"/>
      <c r="D23" s="259"/>
    </row>
    <row r="24" spans="1:4" ht="15" customHeight="1">
      <c r="A24" s="264" t="s">
        <v>12</v>
      </c>
      <c r="B24" s="253"/>
      <c r="C24" s="495"/>
      <c r="D24" s="259"/>
    </row>
    <row r="25" spans="1:4" ht="15" customHeight="1">
      <c r="A25" s="265" t="s">
        <v>550</v>
      </c>
      <c r="B25" s="257">
        <v>78</v>
      </c>
      <c r="C25" s="496">
        <v>80</v>
      </c>
      <c r="D25" s="788">
        <v>80</v>
      </c>
    </row>
    <row r="26" spans="1:4" ht="15" customHeight="1">
      <c r="A26" s="266" t="s">
        <v>208</v>
      </c>
      <c r="B26" s="253">
        <v>5</v>
      </c>
      <c r="C26" s="496">
        <v>5</v>
      </c>
      <c r="D26" s="788">
        <v>5</v>
      </c>
    </row>
    <row r="27" spans="1:4" ht="15" customHeight="1">
      <c r="A27" s="265" t="s">
        <v>207</v>
      </c>
      <c r="B27" s="253">
        <v>3</v>
      </c>
      <c r="C27" s="496">
        <v>3</v>
      </c>
      <c r="D27" s="788">
        <v>3</v>
      </c>
    </row>
    <row r="28" spans="1:4" ht="15" customHeight="1">
      <c r="A28" s="265" t="s">
        <v>551</v>
      </c>
      <c r="B28" s="253">
        <v>6</v>
      </c>
      <c r="C28" s="496">
        <v>6</v>
      </c>
      <c r="D28" s="788">
        <v>6</v>
      </c>
    </row>
    <row r="29" spans="1:4" ht="15" customHeight="1">
      <c r="A29" s="264" t="s">
        <v>209</v>
      </c>
      <c r="B29" s="258">
        <f>SUM(B25:B28)</f>
        <v>92</v>
      </c>
      <c r="C29" s="497">
        <f>SUM(C25:C28)</f>
        <v>94</v>
      </c>
      <c r="D29" s="789">
        <f>SUM(D25:D28)</f>
        <v>94</v>
      </c>
    </row>
    <row r="30" spans="1:4" ht="15" customHeight="1">
      <c r="A30" s="264"/>
      <c r="B30" s="253"/>
      <c r="C30" s="495"/>
      <c r="D30" s="259"/>
    </row>
    <row r="31" spans="1:4" ht="15" customHeight="1">
      <c r="A31" s="264" t="s">
        <v>210</v>
      </c>
      <c r="B31" s="258">
        <v>2</v>
      </c>
      <c r="C31" s="497">
        <v>2</v>
      </c>
      <c r="D31" s="789">
        <v>2</v>
      </c>
    </row>
    <row r="32" spans="1:4" ht="15" customHeight="1">
      <c r="A32" s="57"/>
      <c r="B32" s="253"/>
      <c r="C32" s="495"/>
      <c r="D32" s="259"/>
    </row>
    <row r="33" spans="1:4" ht="15" customHeight="1" thickBot="1">
      <c r="A33" s="267" t="s">
        <v>275</v>
      </c>
      <c r="B33" s="268">
        <f>SUM(B22+B29+B31)</f>
        <v>314.75</v>
      </c>
      <c r="C33" s="498">
        <f>SUM(C22+C29+C31)</f>
        <v>316.75</v>
      </c>
      <c r="D33" s="790">
        <f>SUM(D22+D29+D31)</f>
        <v>316.75</v>
      </c>
    </row>
    <row r="34" spans="1:2" ht="18.75">
      <c r="A34" s="58"/>
      <c r="B34" s="59"/>
    </row>
    <row r="35" ht="15.75">
      <c r="A35" s="60"/>
    </row>
    <row r="36" spans="1:4" ht="12.75">
      <c r="A36" s="1262" t="s">
        <v>552</v>
      </c>
      <c r="B36" s="1262"/>
      <c r="C36" s="1262"/>
      <c r="D36" s="1262"/>
    </row>
    <row r="37" ht="13.5" thickBot="1"/>
    <row r="38" spans="1:4" ht="13.5" thickBot="1">
      <c r="A38" s="1254" t="s">
        <v>629</v>
      </c>
      <c r="B38" s="1259" t="s">
        <v>553</v>
      </c>
      <c r="C38" s="1260"/>
      <c r="D38" s="1261"/>
    </row>
    <row r="39" spans="1:4" ht="15.75" customHeight="1" thickBot="1">
      <c r="A39" s="1255"/>
      <c r="B39" s="665" t="s">
        <v>4</v>
      </c>
      <c r="C39" s="666" t="s">
        <v>733</v>
      </c>
      <c r="D39" s="664" t="s">
        <v>799</v>
      </c>
    </row>
    <row r="40" spans="1:4" ht="12.75">
      <c r="A40" s="273" t="s">
        <v>554</v>
      </c>
      <c r="B40" s="272">
        <v>170</v>
      </c>
      <c r="C40" s="572">
        <v>170</v>
      </c>
      <c r="D40" s="572">
        <v>170</v>
      </c>
    </row>
    <row r="41" spans="1:4" s="61" customFormat="1" ht="13.5" thickBot="1">
      <c r="A41" s="270" t="s">
        <v>151</v>
      </c>
      <c r="B41" s="271">
        <f>SUM(B40:B40)</f>
        <v>170</v>
      </c>
      <c r="C41" s="573">
        <v>170</v>
      </c>
      <c r="D41" s="573">
        <v>170</v>
      </c>
    </row>
    <row r="44" ht="25.5" customHeight="1"/>
  </sheetData>
  <sheetProtection/>
  <mergeCells count="6">
    <mergeCell ref="A3:A4"/>
    <mergeCell ref="A38:A39"/>
    <mergeCell ref="B3:D3"/>
    <mergeCell ref="B38:D38"/>
    <mergeCell ref="A36:D36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&amp;L13. melléklet a 28/2015.(XII.18.)    önkormányzati rendelethez
13. melléklet az 1/2015.(I.30.)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="87" zoomScaleSheetLayoutView="87" workbookViewId="0" topLeftCell="A1">
      <selection activeCell="E9" sqref="E9"/>
    </sheetView>
  </sheetViews>
  <sheetFormatPr defaultColWidth="11.625" defaultRowHeight="14.25" customHeight="1"/>
  <cols>
    <col min="1" max="1" width="6.875" style="51" customWidth="1"/>
    <col min="2" max="2" width="8.875" style="51" customWidth="1"/>
    <col min="3" max="3" width="12.75390625" style="51" customWidth="1"/>
    <col min="4" max="4" width="13.625" style="51" customWidth="1"/>
    <col min="5" max="5" width="13.00390625" style="51" customWidth="1"/>
    <col min="6" max="9" width="13.875" style="51" customWidth="1"/>
    <col min="10" max="10" width="12.875" style="51" customWidth="1"/>
    <col min="11" max="11" width="13.75390625" style="0" customWidth="1"/>
    <col min="12" max="12" width="13.375" style="0" customWidth="1"/>
  </cols>
  <sheetData>
    <row r="1" spans="1:11" ht="14.25" customHeight="1">
      <c r="A1" s="1266" t="s">
        <v>282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</row>
    <row r="2" spans="1:10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14.25" customHeight="1">
      <c r="A3" s="1267" t="s">
        <v>511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1:10" ht="14.25" customHeight="1">
      <c r="A4" s="1267"/>
      <c r="B4" s="1267"/>
      <c r="C4" s="1267"/>
      <c r="D4" s="1267"/>
      <c r="E4" s="1267"/>
      <c r="F4" s="1267"/>
      <c r="G4" s="1267"/>
      <c r="H4" s="1267"/>
      <c r="I4" s="1267"/>
      <c r="J4" s="1267"/>
    </row>
    <row r="5" spans="1:10" ht="17.25" customHeight="1" thickBot="1">
      <c r="A5" s="49"/>
      <c r="B5" s="49"/>
      <c r="C5" s="49"/>
      <c r="D5" s="49"/>
      <c r="E5" s="49"/>
      <c r="F5" s="49"/>
      <c r="G5" s="49"/>
      <c r="H5" s="49"/>
      <c r="I5" s="49"/>
      <c r="J5" s="50"/>
    </row>
    <row r="6" spans="1:12" ht="43.5" customHeight="1">
      <c r="A6" s="1268" t="s">
        <v>629</v>
      </c>
      <c r="B6" s="1269"/>
      <c r="C6" s="346" t="s">
        <v>689</v>
      </c>
      <c r="D6" s="346" t="s">
        <v>735</v>
      </c>
      <c r="E6" s="346" t="s">
        <v>802</v>
      </c>
      <c r="F6" s="346" t="s">
        <v>690</v>
      </c>
      <c r="G6" s="346" t="s">
        <v>736</v>
      </c>
      <c r="H6" s="346" t="s">
        <v>803</v>
      </c>
      <c r="I6" s="346" t="s">
        <v>882</v>
      </c>
      <c r="J6" s="346" t="s">
        <v>691</v>
      </c>
      <c r="K6" s="501" t="s">
        <v>737</v>
      </c>
      <c r="L6" s="347" t="s">
        <v>804</v>
      </c>
    </row>
    <row r="7" spans="1:12" ht="14.25" customHeight="1">
      <c r="A7" s="1264" t="s">
        <v>292</v>
      </c>
      <c r="B7" s="1265"/>
      <c r="C7" s="343">
        <v>222222</v>
      </c>
      <c r="D7" s="343">
        <v>222222</v>
      </c>
      <c r="E7" s="343">
        <v>222222</v>
      </c>
      <c r="F7" s="343">
        <v>650000</v>
      </c>
      <c r="G7" s="343">
        <v>650000</v>
      </c>
      <c r="H7" s="343">
        <v>650000</v>
      </c>
      <c r="I7" s="343">
        <v>166394</v>
      </c>
      <c r="J7" s="344">
        <f aca="true" t="shared" si="0" ref="J7:J36">C7+F7</f>
        <v>872222</v>
      </c>
      <c r="K7" s="502">
        <f aca="true" t="shared" si="1" ref="K7:K36">D7+G7</f>
        <v>872222</v>
      </c>
      <c r="L7" s="988">
        <f>E7+H7+I7</f>
        <v>1038616</v>
      </c>
    </row>
    <row r="8" spans="1:12" ht="14.25" customHeight="1">
      <c r="A8" s="348"/>
      <c r="B8" s="345" t="s">
        <v>290</v>
      </c>
      <c r="C8" s="343">
        <v>0</v>
      </c>
      <c r="D8" s="343">
        <v>221950</v>
      </c>
      <c r="E8" s="343">
        <v>221950</v>
      </c>
      <c r="F8" s="343">
        <v>0</v>
      </c>
      <c r="G8" s="343">
        <v>0</v>
      </c>
      <c r="H8" s="343">
        <v>0</v>
      </c>
      <c r="I8" s="343">
        <v>0</v>
      </c>
      <c r="J8" s="344">
        <f t="shared" si="0"/>
        <v>0</v>
      </c>
      <c r="K8" s="502">
        <f t="shared" si="1"/>
        <v>221950</v>
      </c>
      <c r="L8" s="988">
        <f aca="true" t="shared" si="2" ref="L8:L36">E8+H8+I8</f>
        <v>221950</v>
      </c>
    </row>
    <row r="9" spans="1:12" ht="14.25" customHeight="1">
      <c r="A9" s="349"/>
      <c r="B9" s="345" t="s">
        <v>291</v>
      </c>
      <c r="C9" s="343">
        <v>13744</v>
      </c>
      <c r="D9" s="343">
        <v>13744</v>
      </c>
      <c r="E9" s="343">
        <v>12744</v>
      </c>
      <c r="F9" s="343">
        <v>11595</v>
      </c>
      <c r="G9" s="343">
        <v>11595</v>
      </c>
      <c r="H9" s="343">
        <v>5953</v>
      </c>
      <c r="I9" s="343">
        <v>1000</v>
      </c>
      <c r="J9" s="344">
        <f t="shared" si="0"/>
        <v>25339</v>
      </c>
      <c r="K9" s="502">
        <f t="shared" si="1"/>
        <v>25339</v>
      </c>
      <c r="L9" s="988">
        <f t="shared" si="2"/>
        <v>19697</v>
      </c>
    </row>
    <row r="10" spans="1:12" ht="14.25" customHeight="1">
      <c r="A10" s="1264" t="s">
        <v>293</v>
      </c>
      <c r="B10" s="1265"/>
      <c r="C10" s="343">
        <f>C7-C8</f>
        <v>222222</v>
      </c>
      <c r="D10" s="343">
        <v>0</v>
      </c>
      <c r="E10" s="343">
        <v>0</v>
      </c>
      <c r="F10" s="343">
        <f>F7-F8</f>
        <v>650000</v>
      </c>
      <c r="G10" s="343">
        <v>650000</v>
      </c>
      <c r="H10" s="343">
        <v>650000</v>
      </c>
      <c r="I10" s="343">
        <v>166394</v>
      </c>
      <c r="J10" s="344">
        <f t="shared" si="0"/>
        <v>872222</v>
      </c>
      <c r="K10" s="502">
        <f t="shared" si="1"/>
        <v>650000</v>
      </c>
      <c r="L10" s="988">
        <f t="shared" si="2"/>
        <v>816394</v>
      </c>
    </row>
    <row r="11" spans="1:12" ht="14.25" customHeight="1">
      <c r="A11" s="349"/>
      <c r="B11" s="345" t="s">
        <v>290</v>
      </c>
      <c r="C11" s="343">
        <v>111111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35030</v>
      </c>
      <c r="J11" s="344">
        <f t="shared" si="0"/>
        <v>111111</v>
      </c>
      <c r="K11" s="502">
        <f t="shared" si="1"/>
        <v>0</v>
      </c>
      <c r="L11" s="988">
        <f t="shared" si="2"/>
        <v>35030</v>
      </c>
    </row>
    <row r="12" spans="1:12" ht="14.25" customHeight="1">
      <c r="A12" s="349"/>
      <c r="B12" s="345" t="s">
        <v>291</v>
      </c>
      <c r="C12" s="343">
        <v>11188</v>
      </c>
      <c r="D12" s="343">
        <v>0</v>
      </c>
      <c r="E12" s="343">
        <v>0</v>
      </c>
      <c r="F12" s="343">
        <v>23063</v>
      </c>
      <c r="G12" s="343">
        <v>23063</v>
      </c>
      <c r="H12" s="343">
        <v>23063</v>
      </c>
      <c r="I12" s="343">
        <v>3583</v>
      </c>
      <c r="J12" s="344">
        <f t="shared" si="0"/>
        <v>34251</v>
      </c>
      <c r="K12" s="502">
        <f t="shared" si="1"/>
        <v>23063</v>
      </c>
      <c r="L12" s="988">
        <f t="shared" si="2"/>
        <v>26646</v>
      </c>
    </row>
    <row r="13" spans="1:12" ht="14.25" customHeight="1">
      <c r="A13" s="1264" t="s">
        <v>294</v>
      </c>
      <c r="B13" s="1265"/>
      <c r="C13" s="343">
        <f>C10-C11</f>
        <v>111111</v>
      </c>
      <c r="D13" s="343">
        <v>0</v>
      </c>
      <c r="E13" s="343">
        <v>0</v>
      </c>
      <c r="F13" s="343">
        <f>F10-F11</f>
        <v>650000</v>
      </c>
      <c r="G13" s="343">
        <v>650000</v>
      </c>
      <c r="H13" s="343">
        <v>650000</v>
      </c>
      <c r="I13" s="343">
        <v>131364</v>
      </c>
      <c r="J13" s="344">
        <f t="shared" si="0"/>
        <v>761111</v>
      </c>
      <c r="K13" s="502">
        <f t="shared" si="1"/>
        <v>650000</v>
      </c>
      <c r="L13" s="988">
        <f t="shared" si="2"/>
        <v>781364</v>
      </c>
    </row>
    <row r="14" spans="1:12" ht="14.25" customHeight="1">
      <c r="A14" s="349"/>
      <c r="B14" s="345" t="s">
        <v>290</v>
      </c>
      <c r="C14" s="343">
        <v>111111</v>
      </c>
      <c r="D14" s="343">
        <v>0</v>
      </c>
      <c r="E14" s="343">
        <v>0</v>
      </c>
      <c r="F14" s="343">
        <v>81250</v>
      </c>
      <c r="G14" s="343">
        <v>81250</v>
      </c>
      <c r="H14" s="343">
        <v>81250</v>
      </c>
      <c r="I14" s="343">
        <v>35030</v>
      </c>
      <c r="J14" s="344">
        <f t="shared" si="0"/>
        <v>192361</v>
      </c>
      <c r="K14" s="502">
        <f t="shared" si="1"/>
        <v>81250</v>
      </c>
      <c r="L14" s="988">
        <f t="shared" si="2"/>
        <v>116280</v>
      </c>
    </row>
    <row r="15" spans="1:12" ht="14.25" customHeight="1">
      <c r="A15" s="349"/>
      <c r="B15" s="345" t="s">
        <v>291</v>
      </c>
      <c r="C15" s="343">
        <v>4278</v>
      </c>
      <c r="D15" s="343">
        <v>0</v>
      </c>
      <c r="E15" s="343">
        <v>0</v>
      </c>
      <c r="F15" s="343">
        <v>22275</v>
      </c>
      <c r="G15" s="343">
        <v>22274</v>
      </c>
      <c r="H15" s="343">
        <v>22274</v>
      </c>
      <c r="I15" s="343">
        <v>2755</v>
      </c>
      <c r="J15" s="344">
        <f t="shared" si="0"/>
        <v>26553</v>
      </c>
      <c r="K15" s="502">
        <f t="shared" si="1"/>
        <v>22274</v>
      </c>
      <c r="L15" s="988">
        <f t="shared" si="2"/>
        <v>25029</v>
      </c>
    </row>
    <row r="16" spans="1:12" ht="14.25" customHeight="1">
      <c r="A16" s="1264" t="s">
        <v>295</v>
      </c>
      <c r="B16" s="1265"/>
      <c r="C16" s="343"/>
      <c r="D16" s="343"/>
      <c r="E16" s="343"/>
      <c r="F16" s="343">
        <f>F13-F14</f>
        <v>568750</v>
      </c>
      <c r="G16" s="343">
        <v>568750</v>
      </c>
      <c r="H16" s="343">
        <v>568750</v>
      </c>
      <c r="I16" s="343">
        <v>96334</v>
      </c>
      <c r="J16" s="344">
        <f t="shared" si="0"/>
        <v>568750</v>
      </c>
      <c r="K16" s="502">
        <f t="shared" si="1"/>
        <v>568750</v>
      </c>
      <c r="L16" s="988">
        <f t="shared" si="2"/>
        <v>665084</v>
      </c>
    </row>
    <row r="17" spans="1:12" ht="14.25" customHeight="1">
      <c r="A17" s="349"/>
      <c r="B17" s="345" t="s">
        <v>290</v>
      </c>
      <c r="C17" s="343"/>
      <c r="D17" s="343"/>
      <c r="E17" s="343"/>
      <c r="F17" s="343">
        <v>81250</v>
      </c>
      <c r="G17" s="343">
        <v>81250</v>
      </c>
      <c r="H17" s="343">
        <v>81250</v>
      </c>
      <c r="I17" s="343">
        <v>35030</v>
      </c>
      <c r="J17" s="344">
        <f t="shared" si="0"/>
        <v>81250</v>
      </c>
      <c r="K17" s="502">
        <f t="shared" si="1"/>
        <v>81250</v>
      </c>
      <c r="L17" s="988">
        <f t="shared" si="2"/>
        <v>116280</v>
      </c>
    </row>
    <row r="18" spans="1:12" ht="14.25" customHeight="1">
      <c r="A18" s="349"/>
      <c r="B18" s="345" t="s">
        <v>291</v>
      </c>
      <c r="C18" s="343"/>
      <c r="D18" s="343"/>
      <c r="E18" s="343"/>
      <c r="F18" s="343">
        <v>19400</v>
      </c>
      <c r="G18" s="343">
        <v>19400</v>
      </c>
      <c r="H18" s="343">
        <v>19400</v>
      </c>
      <c r="I18" s="343">
        <v>1938</v>
      </c>
      <c r="J18" s="344">
        <f t="shared" si="0"/>
        <v>19400</v>
      </c>
      <c r="K18" s="502">
        <f t="shared" si="1"/>
        <v>19400</v>
      </c>
      <c r="L18" s="988">
        <f t="shared" si="2"/>
        <v>21338</v>
      </c>
    </row>
    <row r="19" spans="1:12" ht="14.25" customHeight="1">
      <c r="A19" s="1264" t="s">
        <v>296</v>
      </c>
      <c r="B19" s="1265"/>
      <c r="C19" s="343"/>
      <c r="D19" s="343"/>
      <c r="E19" s="343"/>
      <c r="F19" s="343">
        <f>F16-F17</f>
        <v>487500</v>
      </c>
      <c r="G19" s="343">
        <v>487500</v>
      </c>
      <c r="H19" s="343">
        <v>487500</v>
      </c>
      <c r="I19" s="343">
        <v>61304</v>
      </c>
      <c r="J19" s="344">
        <f t="shared" si="0"/>
        <v>487500</v>
      </c>
      <c r="K19" s="502">
        <f t="shared" si="1"/>
        <v>487500</v>
      </c>
      <c r="L19" s="988">
        <f t="shared" si="2"/>
        <v>548804</v>
      </c>
    </row>
    <row r="20" spans="1:12" ht="14.25" customHeight="1">
      <c r="A20" s="349"/>
      <c r="B20" s="345" t="s">
        <v>290</v>
      </c>
      <c r="C20" s="343"/>
      <c r="D20" s="343"/>
      <c r="E20" s="343"/>
      <c r="F20" s="343">
        <v>81250</v>
      </c>
      <c r="G20" s="343">
        <v>81250</v>
      </c>
      <c r="H20" s="343">
        <v>81250</v>
      </c>
      <c r="I20" s="343">
        <v>35030</v>
      </c>
      <c r="J20" s="344">
        <f t="shared" si="0"/>
        <v>81250</v>
      </c>
      <c r="K20" s="502">
        <f t="shared" si="1"/>
        <v>81250</v>
      </c>
      <c r="L20" s="988">
        <f t="shared" si="2"/>
        <v>116280</v>
      </c>
    </row>
    <row r="21" spans="1:12" ht="14.25" customHeight="1">
      <c r="A21" s="349"/>
      <c r="B21" s="345" t="s">
        <v>291</v>
      </c>
      <c r="C21" s="343"/>
      <c r="D21" s="343"/>
      <c r="E21" s="343"/>
      <c r="F21" s="343">
        <v>16525</v>
      </c>
      <c r="G21" s="343">
        <v>16525</v>
      </c>
      <c r="H21" s="343">
        <v>16525</v>
      </c>
      <c r="I21" s="343">
        <v>1121</v>
      </c>
      <c r="J21" s="344">
        <f t="shared" si="0"/>
        <v>16525</v>
      </c>
      <c r="K21" s="502">
        <f t="shared" si="1"/>
        <v>16525</v>
      </c>
      <c r="L21" s="988">
        <f t="shared" si="2"/>
        <v>17646</v>
      </c>
    </row>
    <row r="22" spans="1:12" ht="14.25" customHeight="1">
      <c r="A22" s="1264" t="s">
        <v>297</v>
      </c>
      <c r="B22" s="1265"/>
      <c r="C22" s="343"/>
      <c r="D22" s="343"/>
      <c r="E22" s="343"/>
      <c r="F22" s="343">
        <f>F19-F20</f>
        <v>406250</v>
      </c>
      <c r="G22" s="343">
        <v>406250</v>
      </c>
      <c r="H22" s="343">
        <v>406250</v>
      </c>
      <c r="I22" s="343">
        <v>26274</v>
      </c>
      <c r="J22" s="344">
        <f t="shared" si="0"/>
        <v>406250</v>
      </c>
      <c r="K22" s="502">
        <f t="shared" si="1"/>
        <v>406250</v>
      </c>
      <c r="L22" s="988">
        <f t="shared" si="2"/>
        <v>432524</v>
      </c>
    </row>
    <row r="23" spans="1:12" ht="14.25" customHeight="1">
      <c r="A23" s="349"/>
      <c r="B23" s="345" t="s">
        <v>290</v>
      </c>
      <c r="C23" s="343"/>
      <c r="D23" s="343"/>
      <c r="E23" s="343"/>
      <c r="F23" s="343">
        <v>81250</v>
      </c>
      <c r="G23" s="343">
        <v>81250</v>
      </c>
      <c r="H23" s="343">
        <v>81250</v>
      </c>
      <c r="I23" s="343">
        <v>26274</v>
      </c>
      <c r="J23" s="344">
        <f t="shared" si="0"/>
        <v>81250</v>
      </c>
      <c r="K23" s="502">
        <f t="shared" si="1"/>
        <v>81250</v>
      </c>
      <c r="L23" s="988">
        <f t="shared" si="2"/>
        <v>107524</v>
      </c>
    </row>
    <row r="24" spans="1:12" ht="14.25" customHeight="1">
      <c r="A24" s="349"/>
      <c r="B24" s="345" t="s">
        <v>291</v>
      </c>
      <c r="C24" s="343"/>
      <c r="D24" s="343"/>
      <c r="E24" s="343"/>
      <c r="F24" s="343">
        <v>13690</v>
      </c>
      <c r="G24" s="343">
        <v>13690</v>
      </c>
      <c r="H24" s="343">
        <v>13690</v>
      </c>
      <c r="I24" s="343">
        <v>298</v>
      </c>
      <c r="J24" s="344">
        <f t="shared" si="0"/>
        <v>13690</v>
      </c>
      <c r="K24" s="502">
        <f t="shared" si="1"/>
        <v>13690</v>
      </c>
      <c r="L24" s="988">
        <f t="shared" si="2"/>
        <v>13988</v>
      </c>
    </row>
    <row r="25" spans="1:12" ht="14.25" customHeight="1">
      <c r="A25" s="1264" t="s">
        <v>298</v>
      </c>
      <c r="B25" s="1265"/>
      <c r="C25" s="343"/>
      <c r="D25" s="343"/>
      <c r="E25" s="343"/>
      <c r="F25" s="343">
        <f>F22-F23</f>
        <v>325000</v>
      </c>
      <c r="G25" s="343">
        <v>325000</v>
      </c>
      <c r="H25" s="343">
        <v>325000</v>
      </c>
      <c r="I25" s="343"/>
      <c r="J25" s="344">
        <f t="shared" si="0"/>
        <v>325000</v>
      </c>
      <c r="K25" s="502">
        <f t="shared" si="1"/>
        <v>325000</v>
      </c>
      <c r="L25" s="988">
        <f t="shared" si="2"/>
        <v>325000</v>
      </c>
    </row>
    <row r="26" spans="1:12" ht="14.25" customHeight="1">
      <c r="A26" s="349"/>
      <c r="B26" s="345" t="s">
        <v>290</v>
      </c>
      <c r="C26" s="343"/>
      <c r="D26" s="343"/>
      <c r="E26" s="343"/>
      <c r="F26" s="343">
        <v>81250</v>
      </c>
      <c r="G26" s="343">
        <v>81250</v>
      </c>
      <c r="H26" s="343">
        <v>81250</v>
      </c>
      <c r="I26" s="343"/>
      <c r="J26" s="344">
        <f t="shared" si="0"/>
        <v>81250</v>
      </c>
      <c r="K26" s="502">
        <f t="shared" si="1"/>
        <v>81250</v>
      </c>
      <c r="L26" s="988">
        <f t="shared" si="2"/>
        <v>81250</v>
      </c>
    </row>
    <row r="27" spans="1:12" ht="14.25" customHeight="1">
      <c r="A27" s="349"/>
      <c r="B27" s="345" t="s">
        <v>291</v>
      </c>
      <c r="C27" s="343"/>
      <c r="D27" s="343"/>
      <c r="E27" s="343"/>
      <c r="F27" s="343">
        <v>10775</v>
      </c>
      <c r="G27" s="343">
        <v>10775</v>
      </c>
      <c r="H27" s="343">
        <v>10775</v>
      </c>
      <c r="I27" s="343"/>
      <c r="J27" s="344">
        <f t="shared" si="0"/>
        <v>10775</v>
      </c>
      <c r="K27" s="502">
        <f t="shared" si="1"/>
        <v>10775</v>
      </c>
      <c r="L27" s="988">
        <f t="shared" si="2"/>
        <v>10775</v>
      </c>
    </row>
    <row r="28" spans="1:12" ht="14.25" customHeight="1">
      <c r="A28" s="1264" t="s">
        <v>299</v>
      </c>
      <c r="B28" s="1265"/>
      <c r="C28" s="343"/>
      <c r="D28" s="343"/>
      <c r="E28" s="343"/>
      <c r="F28" s="343">
        <f>F25-F26</f>
        <v>243750</v>
      </c>
      <c r="G28" s="343">
        <v>243750</v>
      </c>
      <c r="H28" s="343">
        <v>243750</v>
      </c>
      <c r="I28" s="343"/>
      <c r="J28" s="344">
        <f t="shared" si="0"/>
        <v>243750</v>
      </c>
      <c r="K28" s="502">
        <f t="shared" si="1"/>
        <v>243750</v>
      </c>
      <c r="L28" s="988">
        <f t="shared" si="2"/>
        <v>243750</v>
      </c>
    </row>
    <row r="29" spans="1:12" ht="14.25" customHeight="1">
      <c r="A29" s="349"/>
      <c r="B29" s="345" t="s">
        <v>290</v>
      </c>
      <c r="C29" s="343"/>
      <c r="D29" s="343"/>
      <c r="E29" s="343"/>
      <c r="F29" s="343">
        <v>81250</v>
      </c>
      <c r="G29" s="343">
        <v>81250</v>
      </c>
      <c r="H29" s="343">
        <v>81250</v>
      </c>
      <c r="I29" s="343"/>
      <c r="J29" s="344">
        <f t="shared" si="0"/>
        <v>81250</v>
      </c>
      <c r="K29" s="502">
        <f t="shared" si="1"/>
        <v>81250</v>
      </c>
      <c r="L29" s="988">
        <f t="shared" si="2"/>
        <v>81250</v>
      </c>
    </row>
    <row r="30" spans="1:12" ht="14.25" customHeight="1">
      <c r="A30" s="349"/>
      <c r="B30" s="345" t="s">
        <v>291</v>
      </c>
      <c r="C30" s="343"/>
      <c r="D30" s="343"/>
      <c r="E30" s="343"/>
      <c r="F30" s="343">
        <v>7900</v>
      </c>
      <c r="G30" s="343">
        <v>7900</v>
      </c>
      <c r="H30" s="343">
        <v>7900</v>
      </c>
      <c r="I30" s="343"/>
      <c r="J30" s="344">
        <f t="shared" si="0"/>
        <v>7900</v>
      </c>
      <c r="K30" s="502">
        <f t="shared" si="1"/>
        <v>7900</v>
      </c>
      <c r="L30" s="988">
        <f t="shared" si="2"/>
        <v>7900</v>
      </c>
    </row>
    <row r="31" spans="1:12" ht="14.25" customHeight="1">
      <c r="A31" s="1264" t="s">
        <v>300</v>
      </c>
      <c r="B31" s="1265"/>
      <c r="C31" s="343"/>
      <c r="D31" s="343"/>
      <c r="E31" s="343"/>
      <c r="F31" s="343">
        <f>F28-F29</f>
        <v>162500</v>
      </c>
      <c r="G31" s="343">
        <v>162500</v>
      </c>
      <c r="H31" s="343">
        <v>162500</v>
      </c>
      <c r="I31" s="343"/>
      <c r="J31" s="344">
        <f t="shared" si="0"/>
        <v>162500</v>
      </c>
      <c r="K31" s="502">
        <f t="shared" si="1"/>
        <v>162500</v>
      </c>
      <c r="L31" s="988">
        <f t="shared" si="2"/>
        <v>162500</v>
      </c>
    </row>
    <row r="32" spans="1:12" ht="14.25" customHeight="1">
      <c r="A32" s="349"/>
      <c r="B32" s="345" t="s">
        <v>290</v>
      </c>
      <c r="C32" s="343"/>
      <c r="D32" s="343"/>
      <c r="E32" s="343"/>
      <c r="F32" s="343">
        <v>81250</v>
      </c>
      <c r="G32" s="343">
        <v>81250</v>
      </c>
      <c r="H32" s="343">
        <v>81250</v>
      </c>
      <c r="I32" s="343"/>
      <c r="J32" s="344">
        <f t="shared" si="0"/>
        <v>81250</v>
      </c>
      <c r="K32" s="502">
        <f t="shared" si="1"/>
        <v>81250</v>
      </c>
      <c r="L32" s="988">
        <f t="shared" si="2"/>
        <v>81250</v>
      </c>
    </row>
    <row r="33" spans="1:12" ht="14.25" customHeight="1">
      <c r="A33" s="349"/>
      <c r="B33" s="345" t="s">
        <v>291</v>
      </c>
      <c r="C33" s="343"/>
      <c r="D33" s="343"/>
      <c r="E33" s="343"/>
      <c r="F33" s="343">
        <v>5025</v>
      </c>
      <c r="G33" s="343">
        <v>5025</v>
      </c>
      <c r="H33" s="343">
        <v>5025</v>
      </c>
      <c r="I33" s="343"/>
      <c r="J33" s="344">
        <f t="shared" si="0"/>
        <v>5025</v>
      </c>
      <c r="K33" s="502">
        <f t="shared" si="1"/>
        <v>5025</v>
      </c>
      <c r="L33" s="988">
        <f t="shared" si="2"/>
        <v>5025</v>
      </c>
    </row>
    <row r="34" spans="1:12" ht="14.25" customHeight="1">
      <c r="A34" s="1264" t="s">
        <v>301</v>
      </c>
      <c r="B34" s="1265"/>
      <c r="C34" s="343"/>
      <c r="D34" s="343"/>
      <c r="E34" s="343"/>
      <c r="F34" s="343">
        <f>F31-F32</f>
        <v>81250</v>
      </c>
      <c r="G34" s="343">
        <v>81250</v>
      </c>
      <c r="H34" s="343">
        <v>81250</v>
      </c>
      <c r="I34" s="343"/>
      <c r="J34" s="344">
        <f t="shared" si="0"/>
        <v>81250</v>
      </c>
      <c r="K34" s="502">
        <f t="shared" si="1"/>
        <v>81250</v>
      </c>
      <c r="L34" s="988">
        <f t="shared" si="2"/>
        <v>81250</v>
      </c>
    </row>
    <row r="35" spans="1:12" ht="14.25" customHeight="1">
      <c r="A35" s="349"/>
      <c r="B35" s="345" t="s">
        <v>290</v>
      </c>
      <c r="C35" s="343"/>
      <c r="D35" s="343"/>
      <c r="E35" s="343"/>
      <c r="F35" s="343">
        <v>81250</v>
      </c>
      <c r="G35" s="343">
        <v>81250</v>
      </c>
      <c r="H35" s="343">
        <v>81250</v>
      </c>
      <c r="I35" s="343"/>
      <c r="J35" s="344">
        <f t="shared" si="0"/>
        <v>81250</v>
      </c>
      <c r="K35" s="502">
        <f t="shared" si="1"/>
        <v>81250</v>
      </c>
      <c r="L35" s="988">
        <f t="shared" si="2"/>
        <v>81250</v>
      </c>
    </row>
    <row r="36" spans="1:12" ht="14.25" customHeight="1" thickBot="1">
      <c r="A36" s="350"/>
      <c r="B36" s="351" t="s">
        <v>291</v>
      </c>
      <c r="C36" s="352"/>
      <c r="D36" s="352"/>
      <c r="E36" s="352"/>
      <c r="F36" s="352">
        <v>2150</v>
      </c>
      <c r="G36" s="352">
        <v>2150</v>
      </c>
      <c r="H36" s="352">
        <v>2150</v>
      </c>
      <c r="I36" s="352"/>
      <c r="J36" s="353">
        <f t="shared" si="0"/>
        <v>2150</v>
      </c>
      <c r="K36" s="503">
        <f t="shared" si="1"/>
        <v>2150</v>
      </c>
      <c r="L36" s="989">
        <f t="shared" si="2"/>
        <v>2150</v>
      </c>
    </row>
  </sheetData>
  <sheetProtection selectLockedCells="1" selectUnlockedCells="1"/>
  <mergeCells count="14">
    <mergeCell ref="A1:K1"/>
    <mergeCell ref="A3:K3"/>
    <mergeCell ref="A13:B13"/>
    <mergeCell ref="A16:B16"/>
    <mergeCell ref="A4:J4"/>
    <mergeCell ref="A6:B6"/>
    <mergeCell ref="A7:B7"/>
    <mergeCell ref="A10:B10"/>
    <mergeCell ref="A31:B31"/>
    <mergeCell ref="A34:B34"/>
    <mergeCell ref="A19:B19"/>
    <mergeCell ref="A22:B22"/>
    <mergeCell ref="A25:B25"/>
    <mergeCell ref="A28:B28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fitToWidth="0" fitToHeight="1" horizontalDpi="300" verticalDpi="300" orientation="landscape" paperSize="9" scale="86" r:id="rId1"/>
  <headerFooter alignWithMargins="0">
    <oddHeader>&amp;L14. melléklet a 28/2015.(XII.18.)    önkormányzati rendelethez
14. melléklet az 1/2015.(I.30.)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workbookViewId="0" topLeftCell="A4">
      <selection activeCell="E19" sqref="E19"/>
    </sheetView>
  </sheetViews>
  <sheetFormatPr defaultColWidth="9.00390625" defaultRowHeight="12.75"/>
  <cols>
    <col min="1" max="1" width="28.125" style="191" customWidth="1"/>
    <col min="2" max="2" width="9.625" style="191" customWidth="1"/>
    <col min="3" max="4" width="11.375" style="191" customWidth="1"/>
    <col min="5" max="5" width="28.875" style="191" customWidth="1"/>
    <col min="6" max="6" width="8.875" style="191" customWidth="1"/>
    <col min="7" max="7" width="9.125" style="191" customWidth="1"/>
    <col min="8" max="8" width="11.00390625" style="191" customWidth="1"/>
    <col min="9" max="9" width="15.00390625" style="191" customWidth="1"/>
    <col min="10" max="16384" width="9.125" style="191" customWidth="1"/>
  </cols>
  <sheetData>
    <row r="1" s="187" customFormat="1" ht="12.75"/>
    <row r="2" spans="1:8" s="187" customFormat="1" ht="12.75">
      <c r="A2" s="1278" t="s">
        <v>286</v>
      </c>
      <c r="B2" s="1278"/>
      <c r="C2" s="1278"/>
      <c r="D2" s="1278"/>
      <c r="E2" s="1278"/>
      <c r="F2" s="1278"/>
      <c r="G2" s="1278"/>
      <c r="H2" s="1278"/>
    </row>
    <row r="3" s="187" customFormat="1" ht="12.75"/>
    <row r="4" s="187" customFormat="1" ht="12.75">
      <c r="A4" s="188" t="s">
        <v>287</v>
      </c>
    </row>
    <row r="5" s="187" customFormat="1" ht="13.5" thickBot="1"/>
    <row r="6" spans="1:8" s="187" customFormat="1" ht="12.75">
      <c r="A6" s="1277" t="s">
        <v>304</v>
      </c>
      <c r="B6" s="1275"/>
      <c r="C6" s="1275"/>
      <c r="D6" s="1275"/>
      <c r="E6" s="1275" t="s">
        <v>288</v>
      </c>
      <c r="F6" s="1275"/>
      <c r="G6" s="1275"/>
      <c r="H6" s="1276"/>
    </row>
    <row r="7" spans="1:8" s="187" customFormat="1" ht="38.25">
      <c r="A7" s="359" t="s">
        <v>695</v>
      </c>
      <c r="B7" s="354" t="s">
        <v>692</v>
      </c>
      <c r="C7" s="354" t="s">
        <v>738</v>
      </c>
      <c r="D7" s="354" t="s">
        <v>805</v>
      </c>
      <c r="E7" s="668" t="s">
        <v>695</v>
      </c>
      <c r="F7" s="354" t="s">
        <v>692</v>
      </c>
      <c r="G7" s="354" t="s">
        <v>738</v>
      </c>
      <c r="H7" s="509" t="s">
        <v>805</v>
      </c>
    </row>
    <row r="8" spans="1:8" s="187" customFormat="1" ht="12.75">
      <c r="A8" s="359" t="s">
        <v>287</v>
      </c>
      <c r="B8" s="355">
        <v>0</v>
      </c>
      <c r="C8" s="355">
        <v>0</v>
      </c>
      <c r="D8" s="355">
        <v>0</v>
      </c>
      <c r="E8" s="356" t="s">
        <v>569</v>
      </c>
      <c r="F8" s="355">
        <f>SUM(F9:F9)</f>
        <v>0</v>
      </c>
      <c r="G8" s="355">
        <v>0</v>
      </c>
      <c r="H8" s="698">
        <v>0</v>
      </c>
    </row>
    <row r="9" spans="1:8" s="187" customFormat="1" ht="12.75">
      <c r="A9" s="189"/>
      <c r="B9" s="357"/>
      <c r="C9" s="357"/>
      <c r="D9" s="357"/>
      <c r="E9" s="358"/>
      <c r="F9" s="357"/>
      <c r="G9" s="699"/>
      <c r="H9" s="698"/>
    </row>
    <row r="10" spans="1:8" s="187" customFormat="1" ht="12.75">
      <c r="A10" s="359" t="s">
        <v>260</v>
      </c>
      <c r="B10" s="355">
        <f>SUM(B8:B9)</f>
        <v>0</v>
      </c>
      <c r="C10" s="355">
        <v>0</v>
      </c>
      <c r="D10" s="355">
        <v>0</v>
      </c>
      <c r="E10" s="668" t="s">
        <v>260</v>
      </c>
      <c r="F10" s="355">
        <f>SUM(F8)</f>
        <v>0</v>
      </c>
      <c r="G10" s="355">
        <v>0</v>
      </c>
      <c r="H10" s="698">
        <v>0</v>
      </c>
    </row>
    <row r="11" spans="1:8" s="187" customFormat="1" ht="13.5" thickBot="1">
      <c r="A11" s="189"/>
      <c r="B11" s="699"/>
      <c r="C11" s="699"/>
      <c r="D11" s="699"/>
      <c r="E11" s="699"/>
      <c r="F11" s="699"/>
      <c r="G11" s="699"/>
      <c r="H11" s="504"/>
    </row>
    <row r="12" spans="1:8" s="187" customFormat="1" ht="12.75">
      <c r="A12" s="1277" t="s">
        <v>304</v>
      </c>
      <c r="B12" s="1275"/>
      <c r="C12" s="1275"/>
      <c r="D12" s="1275"/>
      <c r="E12" s="1275" t="s">
        <v>288</v>
      </c>
      <c r="F12" s="1275"/>
      <c r="G12" s="1275"/>
      <c r="H12" s="1276"/>
    </row>
    <row r="13" spans="1:8" s="187" customFormat="1" ht="38.25">
      <c r="A13" s="375" t="s">
        <v>696</v>
      </c>
      <c r="B13" s="354" t="s">
        <v>692</v>
      </c>
      <c r="C13" s="354" t="s">
        <v>738</v>
      </c>
      <c r="D13" s="354" t="s">
        <v>805</v>
      </c>
      <c r="E13" s="356" t="s">
        <v>696</v>
      </c>
      <c r="F13" s="354" t="s">
        <v>692</v>
      </c>
      <c r="G13" s="354" t="s">
        <v>738</v>
      </c>
      <c r="H13" s="509" t="s">
        <v>805</v>
      </c>
    </row>
    <row r="14" spans="1:8" s="187" customFormat="1" ht="12.75">
      <c r="A14" s="359" t="s">
        <v>287</v>
      </c>
      <c r="B14" s="355">
        <v>0</v>
      </c>
      <c r="C14" s="355">
        <v>3010</v>
      </c>
      <c r="D14" s="355">
        <v>3010</v>
      </c>
      <c r="E14" s="356" t="s">
        <v>264</v>
      </c>
      <c r="F14" s="355">
        <f>SUM(F15:F15)</f>
        <v>0</v>
      </c>
      <c r="G14" s="355">
        <v>2370</v>
      </c>
      <c r="H14" s="698">
        <v>2370</v>
      </c>
    </row>
    <row r="15" spans="1:8" s="187" customFormat="1" ht="12.75">
      <c r="A15" s="189"/>
      <c r="B15" s="357"/>
      <c r="C15" s="357"/>
      <c r="D15" s="357"/>
      <c r="E15" s="356" t="s">
        <v>697</v>
      </c>
      <c r="F15" s="357"/>
      <c r="G15" s="355">
        <v>640</v>
      </c>
      <c r="H15" s="698">
        <v>640</v>
      </c>
    </row>
    <row r="16" spans="1:8" s="187" customFormat="1" ht="12.75">
      <c r="A16" s="359" t="s">
        <v>260</v>
      </c>
      <c r="B16" s="355">
        <f>SUM(B14:B15)</f>
        <v>0</v>
      </c>
      <c r="C16" s="355">
        <f>SUM(C14)</f>
        <v>3010</v>
      </c>
      <c r="D16" s="355">
        <f>SUM(D14)</f>
        <v>3010</v>
      </c>
      <c r="E16" s="668" t="s">
        <v>260</v>
      </c>
      <c r="F16" s="355">
        <f>SUM(F14)</f>
        <v>0</v>
      </c>
      <c r="G16" s="355">
        <f>SUM(G14:G15)</f>
        <v>3010</v>
      </c>
      <c r="H16" s="716">
        <f>SUM(H14:H15)</f>
        <v>3010</v>
      </c>
    </row>
    <row r="17" spans="1:8" s="187" customFormat="1" ht="13.5" thickBot="1">
      <c r="A17" s="717"/>
      <c r="B17" s="718"/>
      <c r="C17" s="718"/>
      <c r="D17" s="718"/>
      <c r="E17" s="718"/>
      <c r="F17" s="718"/>
      <c r="G17" s="718"/>
      <c r="H17" s="667"/>
    </row>
    <row r="18" spans="1:8" s="187" customFormat="1" ht="13.5" thickBot="1">
      <c r="A18" s="1279" t="s">
        <v>304</v>
      </c>
      <c r="B18" s="1280"/>
      <c r="C18" s="1280"/>
      <c r="D18" s="1280"/>
      <c r="E18" s="1280" t="s">
        <v>288</v>
      </c>
      <c r="F18" s="1280"/>
      <c r="G18" s="1280"/>
      <c r="H18" s="1281"/>
    </row>
    <row r="19" spans="1:8" s="187" customFormat="1" ht="38.25">
      <c r="A19" s="1117" t="s">
        <v>698</v>
      </c>
      <c r="B19" s="1118" t="s">
        <v>692</v>
      </c>
      <c r="C19" s="1118" t="s">
        <v>738</v>
      </c>
      <c r="D19" s="1118" t="s">
        <v>805</v>
      </c>
      <c r="E19" s="1119" t="s">
        <v>696</v>
      </c>
      <c r="F19" s="1118" t="s">
        <v>692</v>
      </c>
      <c r="G19" s="1118" t="s">
        <v>738</v>
      </c>
      <c r="H19" s="1120" t="s">
        <v>805</v>
      </c>
    </row>
    <row r="20" spans="1:8" s="187" customFormat="1" ht="12.75">
      <c r="A20" s="359" t="s">
        <v>287</v>
      </c>
      <c r="B20" s="355">
        <v>0</v>
      </c>
      <c r="C20" s="355">
        <v>50349</v>
      </c>
      <c r="D20" s="355">
        <v>50349</v>
      </c>
      <c r="E20" s="356" t="s">
        <v>264</v>
      </c>
      <c r="F20" s="355">
        <f>SUM(F21:F21)</f>
        <v>0</v>
      </c>
      <c r="G20" s="355">
        <v>11771</v>
      </c>
      <c r="H20" s="716">
        <v>11771</v>
      </c>
    </row>
    <row r="21" spans="1:8" s="187" customFormat="1" ht="12.75">
      <c r="A21" s="189"/>
      <c r="B21" s="357"/>
      <c r="C21" s="357"/>
      <c r="D21" s="357"/>
      <c r="E21" s="356" t="s">
        <v>697</v>
      </c>
      <c r="F21" s="357"/>
      <c r="G21" s="355">
        <v>3394</v>
      </c>
      <c r="H21" s="716">
        <v>3394</v>
      </c>
    </row>
    <row r="22" spans="1:8" s="187" customFormat="1" ht="12.75">
      <c r="A22" s="189"/>
      <c r="B22" s="357"/>
      <c r="C22" s="355"/>
      <c r="D22" s="355"/>
      <c r="E22" s="356" t="s">
        <v>427</v>
      </c>
      <c r="F22" s="357"/>
      <c r="G22" s="355">
        <v>35184</v>
      </c>
      <c r="H22" s="716">
        <v>35184</v>
      </c>
    </row>
    <row r="23" spans="1:8" s="187" customFormat="1" ht="13.5" thickBot="1">
      <c r="A23" s="360" t="s">
        <v>260</v>
      </c>
      <c r="B23" s="361">
        <f>SUM(B20:B21)</f>
        <v>0</v>
      </c>
      <c r="C23" s="361">
        <f>SUM(C20)</f>
        <v>50349</v>
      </c>
      <c r="D23" s="361">
        <f>SUM(D20)</f>
        <v>50349</v>
      </c>
      <c r="E23" s="362" t="s">
        <v>260</v>
      </c>
      <c r="F23" s="361">
        <f>SUM(F20)</f>
        <v>0</v>
      </c>
      <c r="G23" s="361">
        <f>SUM(G20:G22)</f>
        <v>50349</v>
      </c>
      <c r="H23" s="1121">
        <f>SUM(H20:H22)</f>
        <v>50349</v>
      </c>
    </row>
    <row r="24" spans="1:6" s="187" customFormat="1" ht="12.75">
      <c r="A24" s="376"/>
      <c r="B24" s="377"/>
      <c r="C24" s="377"/>
      <c r="D24" s="377"/>
      <c r="E24" s="376"/>
      <c r="F24" s="377"/>
    </row>
    <row r="25" spans="1:6" s="187" customFormat="1" ht="12.75">
      <c r="A25" s="376"/>
      <c r="B25" s="377"/>
      <c r="C25" s="377"/>
      <c r="D25" s="377"/>
      <c r="E25" s="376"/>
      <c r="F25" s="377"/>
    </row>
    <row r="26" spans="1:8" s="187" customFormat="1" ht="12.75">
      <c r="A26" s="376" t="s">
        <v>15</v>
      </c>
      <c r="B26" s="377">
        <v>0</v>
      </c>
      <c r="C26" s="377">
        <f>(C10+C16+C23)</f>
        <v>53359</v>
      </c>
      <c r="D26" s="377">
        <f>(D10+D16+D23)</f>
        <v>53359</v>
      </c>
      <c r="E26" s="376" t="s">
        <v>15</v>
      </c>
      <c r="F26" s="377">
        <v>0</v>
      </c>
      <c r="G26" s="377">
        <f>(G10+G16+G23)</f>
        <v>53359</v>
      </c>
      <c r="H26" s="377">
        <f>(H10+H16+H23)</f>
        <v>53359</v>
      </c>
    </row>
    <row r="27" s="187" customFormat="1" ht="12.75"/>
    <row r="28" s="187" customFormat="1" ht="12.75">
      <c r="A28" s="188" t="s">
        <v>289</v>
      </c>
    </row>
    <row r="29" s="187" customFormat="1" ht="13.5" thickBot="1"/>
    <row r="30" spans="1:8" s="187" customFormat="1" ht="12.75">
      <c r="A30" s="1270" t="s">
        <v>304</v>
      </c>
      <c r="B30" s="1271"/>
      <c r="C30" s="1271"/>
      <c r="D30" s="1272"/>
      <c r="E30" s="1273" t="s">
        <v>288</v>
      </c>
      <c r="F30" s="1271"/>
      <c r="G30" s="1271"/>
      <c r="H30" s="1274"/>
    </row>
    <row r="31" spans="1:8" s="187" customFormat="1" ht="38.25">
      <c r="A31" s="359" t="s">
        <v>695</v>
      </c>
      <c r="B31" s="354" t="s">
        <v>692</v>
      </c>
      <c r="C31" s="354" t="s">
        <v>738</v>
      </c>
      <c r="D31" s="354" t="s">
        <v>805</v>
      </c>
      <c r="E31" s="668" t="s">
        <v>695</v>
      </c>
      <c r="F31" s="354" t="s">
        <v>692</v>
      </c>
      <c r="G31" s="354" t="s">
        <v>738</v>
      </c>
      <c r="H31" s="509" t="s">
        <v>805</v>
      </c>
    </row>
    <row r="32" spans="1:8" s="187" customFormat="1" ht="12.75">
      <c r="A32" s="367" t="s">
        <v>289</v>
      </c>
      <c r="B32" s="364">
        <v>100000</v>
      </c>
      <c r="C32" s="364">
        <v>81606</v>
      </c>
      <c r="D32" s="364">
        <v>81606</v>
      </c>
      <c r="E32" s="363" t="s">
        <v>600</v>
      </c>
      <c r="F32" s="364">
        <f>SUM(F33:F34)</f>
        <v>100000</v>
      </c>
      <c r="G32" s="364">
        <v>81606</v>
      </c>
      <c r="H32" s="1114">
        <v>81606</v>
      </c>
    </row>
    <row r="33" spans="1:8" s="187" customFormat="1" ht="25.5">
      <c r="A33" s="190"/>
      <c r="B33" s="366"/>
      <c r="C33" s="357"/>
      <c r="D33" s="357"/>
      <c r="E33" s="365" t="s">
        <v>51</v>
      </c>
      <c r="F33" s="366">
        <v>66000</v>
      </c>
      <c r="G33" s="366">
        <v>66000</v>
      </c>
      <c r="H33" s="1115">
        <v>66000</v>
      </c>
    </row>
    <row r="34" spans="1:8" s="187" customFormat="1" ht="12.75">
      <c r="A34" s="190"/>
      <c r="B34" s="366"/>
      <c r="C34" s="355"/>
      <c r="D34" s="355"/>
      <c r="E34" s="365" t="s">
        <v>54</v>
      </c>
      <c r="F34" s="366">
        <v>34000</v>
      </c>
      <c r="G34" s="366">
        <v>15606</v>
      </c>
      <c r="H34" s="1115">
        <v>15606</v>
      </c>
    </row>
    <row r="35" spans="1:8" s="187" customFormat="1" ht="13.5" thickBot="1">
      <c r="A35" s="368" t="s">
        <v>260</v>
      </c>
      <c r="B35" s="369">
        <f>SUM(B32:B34)</f>
        <v>100000</v>
      </c>
      <c r="C35" s="369">
        <f>SUM(C32:C34)</f>
        <v>81606</v>
      </c>
      <c r="D35" s="369">
        <f>SUM(D32:D34)</f>
        <v>81606</v>
      </c>
      <c r="E35" s="370" t="s">
        <v>260</v>
      </c>
      <c r="F35" s="369">
        <f>SUM(F32)</f>
        <v>100000</v>
      </c>
      <c r="G35" s="369">
        <f>SUM(G32)</f>
        <v>81606</v>
      </c>
      <c r="H35" s="1116">
        <f>SUM(H32)</f>
        <v>81606</v>
      </c>
    </row>
    <row r="36" s="187" customFormat="1" ht="13.5" thickBot="1"/>
    <row r="37" spans="1:8" s="187" customFormat="1" ht="12.75">
      <c r="A37" s="1270" t="s">
        <v>304</v>
      </c>
      <c r="B37" s="1271"/>
      <c r="C37" s="1271"/>
      <c r="D37" s="1272"/>
      <c r="E37" s="1273" t="s">
        <v>288</v>
      </c>
      <c r="F37" s="1271"/>
      <c r="G37" s="1271"/>
      <c r="H37" s="1274"/>
    </row>
    <row r="38" spans="1:8" s="187" customFormat="1" ht="38.25">
      <c r="A38" s="375" t="s">
        <v>698</v>
      </c>
      <c r="B38" s="354" t="s">
        <v>692</v>
      </c>
      <c r="C38" s="354" t="s">
        <v>738</v>
      </c>
      <c r="D38" s="354" t="s">
        <v>805</v>
      </c>
      <c r="E38" s="356" t="s">
        <v>698</v>
      </c>
      <c r="F38" s="354" t="s">
        <v>692</v>
      </c>
      <c r="G38" s="354" t="s">
        <v>738</v>
      </c>
      <c r="H38" s="509" t="s">
        <v>805</v>
      </c>
    </row>
    <row r="39" spans="1:8" s="187" customFormat="1" ht="12.75">
      <c r="A39" s="367" t="s">
        <v>289</v>
      </c>
      <c r="B39" s="364">
        <v>0</v>
      </c>
      <c r="C39" s="364">
        <v>18400</v>
      </c>
      <c r="D39" s="364">
        <v>18400</v>
      </c>
      <c r="E39" s="363" t="s">
        <v>276</v>
      </c>
      <c r="F39" s="364">
        <v>0</v>
      </c>
      <c r="G39" s="364">
        <v>13400</v>
      </c>
      <c r="H39" s="1114">
        <v>13400</v>
      </c>
    </row>
    <row r="40" spans="1:8" s="187" customFormat="1" ht="12.75">
      <c r="A40" s="190"/>
      <c r="B40" s="366"/>
      <c r="C40" s="357"/>
      <c r="D40" s="357"/>
      <c r="E40" s="378" t="s">
        <v>277</v>
      </c>
      <c r="F40" s="364">
        <v>0</v>
      </c>
      <c r="G40" s="364">
        <v>5000</v>
      </c>
      <c r="H40" s="1114">
        <v>5000</v>
      </c>
    </row>
    <row r="41" spans="1:8" s="187" customFormat="1" ht="12.75">
      <c r="A41" s="190"/>
      <c r="B41" s="366"/>
      <c r="C41" s="355"/>
      <c r="D41" s="355"/>
      <c r="E41" s="365"/>
      <c r="F41" s="366"/>
      <c r="G41" s="355"/>
      <c r="H41" s="504"/>
    </row>
    <row r="42" spans="1:8" s="187" customFormat="1" ht="13.5" thickBot="1">
      <c r="A42" s="368" t="s">
        <v>260</v>
      </c>
      <c r="B42" s="369">
        <f>SUM(B39:B41)</f>
        <v>0</v>
      </c>
      <c r="C42" s="369">
        <f>SUM(C39:C41)</f>
        <v>18400</v>
      </c>
      <c r="D42" s="369">
        <f>SUM(D39:D41)</f>
        <v>18400</v>
      </c>
      <c r="E42" s="370" t="s">
        <v>260</v>
      </c>
      <c r="F42" s="369">
        <f>SUM(F39)</f>
        <v>0</v>
      </c>
      <c r="G42" s="369">
        <f>SUM(G39:G40)</f>
        <v>18400</v>
      </c>
      <c r="H42" s="1116">
        <f>SUM(H39:H40)</f>
        <v>18400</v>
      </c>
    </row>
    <row r="43" s="187" customFormat="1" ht="12.75"/>
    <row r="44" s="187" customFormat="1" ht="12.75"/>
    <row r="45" spans="1:8" s="187" customFormat="1" ht="12.75">
      <c r="A45" s="376" t="s">
        <v>15</v>
      </c>
      <c r="B45" s="379">
        <f>(B35+B42)</f>
        <v>100000</v>
      </c>
      <c r="C45" s="379">
        <f>(C35+C42)</f>
        <v>100006</v>
      </c>
      <c r="D45" s="379">
        <f>(D35+D42)</f>
        <v>100006</v>
      </c>
      <c r="E45" s="376" t="s">
        <v>15</v>
      </c>
      <c r="F45" s="379">
        <f>(F35+F42)</f>
        <v>100000</v>
      </c>
      <c r="G45" s="379">
        <f>(G35+G42)</f>
        <v>100006</v>
      </c>
      <c r="H45" s="379">
        <f>(H35+H42)</f>
        <v>100006</v>
      </c>
    </row>
    <row r="46" s="187" customFormat="1" ht="12.75"/>
    <row r="47" s="187" customFormat="1" ht="12.75"/>
    <row r="48" s="187" customFormat="1" ht="12.75"/>
    <row r="49" s="187" customFormat="1" ht="12.75"/>
    <row r="50" s="187" customFormat="1" ht="12.75"/>
  </sheetData>
  <sheetProtection/>
  <mergeCells count="11">
    <mergeCell ref="A30:D30"/>
    <mergeCell ref="A37:D37"/>
    <mergeCell ref="E37:H37"/>
    <mergeCell ref="E6:H6"/>
    <mergeCell ref="A6:D6"/>
    <mergeCell ref="A2:H2"/>
    <mergeCell ref="E12:H12"/>
    <mergeCell ref="A12:D12"/>
    <mergeCell ref="A18:D18"/>
    <mergeCell ref="E18:H18"/>
    <mergeCell ref="E30:H30"/>
  </mergeCells>
  <printOptions horizontalCentered="1"/>
  <pageMargins left="0.3937007874015748" right="0.3937007874015748" top="0.984251968503937" bottom="0" header="0.5118110236220472" footer="0.5118110236220472"/>
  <pageSetup fitToWidth="0" fitToHeight="1" horizontalDpi="600" verticalDpi="600" orientation="landscape" paperSize="9" scale="72" r:id="rId1"/>
  <headerFooter alignWithMargins="0">
    <oddHeader>&amp;L&amp;"Arial,Normál"15. melléklet a 28/2015.(XII.18.)   önkormányzati rendelethez
15. melléklet az 1/2015.(I.30.)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view="pageBreakPreview" zoomScale="69" zoomScaleSheetLayoutView="69" workbookViewId="0" topLeftCell="A34">
      <selection activeCell="N43" sqref="N43:Q57"/>
    </sheetView>
  </sheetViews>
  <sheetFormatPr defaultColWidth="9.00390625" defaultRowHeight="12.75"/>
  <cols>
    <col min="1" max="1" width="76.125" style="522" customWidth="1"/>
    <col min="2" max="2" width="10.875" style="522" customWidth="1"/>
    <col min="3" max="3" width="11.75390625" style="522" customWidth="1"/>
    <col min="4" max="4" width="11.00390625" style="522" customWidth="1"/>
    <col min="5" max="5" width="11.375" style="522" customWidth="1"/>
    <col min="6" max="7" width="11.375" style="522" hidden="1" customWidth="1"/>
    <col min="8" max="8" width="10.375" style="522" hidden="1" customWidth="1"/>
    <col min="9" max="9" width="10.25390625" style="522" hidden="1" customWidth="1"/>
    <col min="10" max="11" width="11.375" style="522" customWidth="1"/>
    <col min="12" max="12" width="10.375" style="522" customWidth="1"/>
    <col min="13" max="13" width="10.25390625" style="522" customWidth="1"/>
    <col min="14" max="14" width="10.75390625" style="522" bestFit="1" customWidth="1"/>
    <col min="15" max="15" width="12.00390625" style="522" customWidth="1"/>
    <col min="16" max="16" width="9.125" style="522" customWidth="1"/>
    <col min="17" max="17" width="11.00390625" style="522" customWidth="1"/>
    <col min="18" max="16384" width="9.125" style="522" customWidth="1"/>
  </cols>
  <sheetData>
    <row r="1" spans="1:17" ht="15">
      <c r="A1" s="1283" t="s">
        <v>665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283"/>
    </row>
    <row r="2" spans="1:5" ht="8.25" customHeight="1">
      <c r="A2" s="521"/>
      <c r="B2" s="521"/>
      <c r="C2" s="521"/>
      <c r="D2" s="521"/>
      <c r="E2" s="521"/>
    </row>
    <row r="3" spans="1:17" ht="15">
      <c r="A3" s="1282" t="s">
        <v>605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  <c r="Q3" s="1282"/>
    </row>
    <row r="4" spans="1:5" ht="9" customHeight="1" thickBot="1">
      <c r="A4" s="523"/>
      <c r="B4" s="523"/>
      <c r="C4" s="523"/>
      <c r="D4" s="523"/>
      <c r="E4" s="523"/>
    </row>
    <row r="5" spans="1:17" ht="15.75" thickBot="1">
      <c r="A5" s="1306" t="s">
        <v>283</v>
      </c>
      <c r="B5" s="1284" t="s">
        <v>4</v>
      </c>
      <c r="C5" s="1285"/>
      <c r="D5" s="1285"/>
      <c r="E5" s="1286"/>
      <c r="F5" s="1284" t="s">
        <v>668</v>
      </c>
      <c r="G5" s="1285"/>
      <c r="H5" s="1285"/>
      <c r="I5" s="1286"/>
      <c r="J5" s="1284" t="s">
        <v>733</v>
      </c>
      <c r="K5" s="1285"/>
      <c r="L5" s="1285"/>
      <c r="M5" s="1286"/>
      <c r="N5" s="1284" t="s">
        <v>799</v>
      </c>
      <c r="O5" s="1285"/>
      <c r="P5" s="1285"/>
      <c r="Q5" s="1286"/>
    </row>
    <row r="6" spans="1:17" s="524" customFormat="1" ht="15" customHeight="1">
      <c r="A6" s="1307"/>
      <c r="B6" s="1308" t="s">
        <v>305</v>
      </c>
      <c r="C6" s="1289" t="s">
        <v>284</v>
      </c>
      <c r="D6" s="1290"/>
      <c r="E6" s="1291"/>
      <c r="F6" s="1287" t="s">
        <v>305</v>
      </c>
      <c r="G6" s="1289" t="s">
        <v>284</v>
      </c>
      <c r="H6" s="1290"/>
      <c r="I6" s="1291"/>
      <c r="J6" s="1308" t="s">
        <v>305</v>
      </c>
      <c r="K6" s="1289" t="s">
        <v>284</v>
      </c>
      <c r="L6" s="1290"/>
      <c r="M6" s="1291"/>
      <c r="N6" s="1287" t="s">
        <v>305</v>
      </c>
      <c r="O6" s="1289" t="s">
        <v>284</v>
      </c>
      <c r="P6" s="1290"/>
      <c r="Q6" s="1291"/>
    </row>
    <row r="7" spans="1:17" s="524" customFormat="1" ht="46.5" customHeight="1" thickBot="1">
      <c r="A7" s="1307"/>
      <c r="B7" s="1309"/>
      <c r="C7" s="274" t="s">
        <v>285</v>
      </c>
      <c r="D7" s="274" t="s">
        <v>490</v>
      </c>
      <c r="E7" s="275" t="s">
        <v>491</v>
      </c>
      <c r="F7" s="1316"/>
      <c r="G7" s="274" t="s">
        <v>285</v>
      </c>
      <c r="H7" s="274" t="s">
        <v>490</v>
      </c>
      <c r="I7" s="275" t="s">
        <v>491</v>
      </c>
      <c r="J7" s="1309"/>
      <c r="K7" s="274" t="s">
        <v>285</v>
      </c>
      <c r="L7" s="274" t="s">
        <v>490</v>
      </c>
      <c r="M7" s="275" t="s">
        <v>491</v>
      </c>
      <c r="N7" s="1288"/>
      <c r="O7" s="274" t="s">
        <v>285</v>
      </c>
      <c r="P7" s="274" t="s">
        <v>490</v>
      </c>
      <c r="Q7" s="275" t="s">
        <v>491</v>
      </c>
    </row>
    <row r="8" spans="1:17" s="528" customFormat="1" ht="14.25" customHeight="1">
      <c r="A8" s="333" t="s">
        <v>130</v>
      </c>
      <c r="B8" s="277">
        <f aca="true" t="shared" si="0" ref="B8:I8">SUM(B9:B12)</f>
        <v>1219746</v>
      </c>
      <c r="C8" s="276">
        <f t="shared" si="0"/>
        <v>849017</v>
      </c>
      <c r="D8" s="276">
        <f t="shared" si="0"/>
        <v>321864</v>
      </c>
      <c r="E8" s="278">
        <f t="shared" si="0"/>
        <v>48865</v>
      </c>
      <c r="F8" s="525">
        <f t="shared" si="0"/>
        <v>1219746</v>
      </c>
      <c r="G8" s="525">
        <f t="shared" si="0"/>
        <v>849017</v>
      </c>
      <c r="H8" s="525">
        <f t="shared" si="0"/>
        <v>321864</v>
      </c>
      <c r="I8" s="526">
        <f t="shared" si="0"/>
        <v>48865</v>
      </c>
      <c r="J8" s="527">
        <f>SUM(J9:J12)</f>
        <v>1380882</v>
      </c>
      <c r="K8" s="525">
        <f>SUM(K9:K12)</f>
        <v>849017</v>
      </c>
      <c r="L8" s="525">
        <f>SUM(L9:L12)</f>
        <v>483000</v>
      </c>
      <c r="M8" s="669">
        <f>SUM(M9:M12)</f>
        <v>48865</v>
      </c>
      <c r="N8" s="527">
        <f aca="true" t="shared" si="1" ref="N8:Q12">J8</f>
        <v>1380882</v>
      </c>
      <c r="O8" s="764">
        <f t="shared" si="1"/>
        <v>849017</v>
      </c>
      <c r="P8" s="764">
        <f t="shared" si="1"/>
        <v>483000</v>
      </c>
      <c r="Q8" s="765">
        <f t="shared" si="1"/>
        <v>48865</v>
      </c>
    </row>
    <row r="9" spans="1:17" ht="15" customHeight="1">
      <c r="A9" s="334" t="s">
        <v>784</v>
      </c>
      <c r="B9" s="279">
        <v>1049854</v>
      </c>
      <c r="C9" s="124">
        <v>730990</v>
      </c>
      <c r="D9" s="124">
        <f>B9-C9</f>
        <v>318864</v>
      </c>
      <c r="E9" s="280"/>
      <c r="F9" s="529">
        <v>1049854</v>
      </c>
      <c r="G9" s="124">
        <f>C9</f>
        <v>730990</v>
      </c>
      <c r="H9" s="124">
        <v>318864</v>
      </c>
      <c r="I9" s="280"/>
      <c r="J9" s="518">
        <f>F9+161136</f>
        <v>1210990</v>
      </c>
      <c r="K9" s="124">
        <f>G9</f>
        <v>730990</v>
      </c>
      <c r="L9" s="124">
        <f>H9+161136</f>
        <v>480000</v>
      </c>
      <c r="M9" s="670">
        <f>I9</f>
        <v>0</v>
      </c>
      <c r="N9" s="518">
        <f t="shared" si="1"/>
        <v>1210990</v>
      </c>
      <c r="O9" s="124">
        <f t="shared" si="1"/>
        <v>730990</v>
      </c>
      <c r="P9" s="124">
        <f t="shared" si="1"/>
        <v>480000</v>
      </c>
      <c r="Q9" s="280">
        <f t="shared" si="1"/>
        <v>0</v>
      </c>
    </row>
    <row r="10" spans="1:17" ht="15">
      <c r="A10" s="334" t="s">
        <v>7</v>
      </c>
      <c r="B10" s="279">
        <v>130400</v>
      </c>
      <c r="C10" s="124">
        <v>81568</v>
      </c>
      <c r="D10" s="124"/>
      <c r="E10" s="280">
        <f>B10-C10</f>
        <v>48832</v>
      </c>
      <c r="F10" s="529">
        <v>130400</v>
      </c>
      <c r="G10" s="124">
        <f>C10</f>
        <v>81568</v>
      </c>
      <c r="H10" s="124"/>
      <c r="I10" s="280">
        <v>48832</v>
      </c>
      <c r="J10" s="518">
        <f>F10</f>
        <v>130400</v>
      </c>
      <c r="K10" s="124">
        <f>G10</f>
        <v>81568</v>
      </c>
      <c r="L10" s="124">
        <f>H10</f>
        <v>0</v>
      </c>
      <c r="M10" s="670">
        <f>I10</f>
        <v>48832</v>
      </c>
      <c r="N10" s="518">
        <f t="shared" si="1"/>
        <v>130400</v>
      </c>
      <c r="O10" s="124">
        <f t="shared" si="1"/>
        <v>81568</v>
      </c>
      <c r="P10" s="124">
        <f t="shared" si="1"/>
        <v>0</v>
      </c>
      <c r="Q10" s="280">
        <f t="shared" si="1"/>
        <v>48832</v>
      </c>
    </row>
    <row r="11" spans="1:17" ht="30" customHeight="1">
      <c r="A11" s="334" t="s">
        <v>8</v>
      </c>
      <c r="B11" s="279">
        <v>34492</v>
      </c>
      <c r="C11" s="124">
        <v>34459</v>
      </c>
      <c r="D11" s="124"/>
      <c r="E11" s="280">
        <f>B11-C11</f>
        <v>33</v>
      </c>
      <c r="F11" s="529">
        <v>34492</v>
      </c>
      <c r="G11" s="124">
        <f>C11</f>
        <v>34459</v>
      </c>
      <c r="H11" s="124"/>
      <c r="I11" s="280">
        <v>33</v>
      </c>
      <c r="J11" s="518">
        <f>F11</f>
        <v>34492</v>
      </c>
      <c r="K11" s="124">
        <f>G11</f>
        <v>34459</v>
      </c>
      <c r="L11" s="124">
        <f>H11</f>
        <v>0</v>
      </c>
      <c r="M11" s="670">
        <f>I11</f>
        <v>33</v>
      </c>
      <c r="N11" s="518">
        <f t="shared" si="1"/>
        <v>34492</v>
      </c>
      <c r="O11" s="124">
        <f t="shared" si="1"/>
        <v>34459</v>
      </c>
      <c r="P11" s="124">
        <f t="shared" si="1"/>
        <v>0</v>
      </c>
      <c r="Q11" s="280">
        <f t="shared" si="1"/>
        <v>33</v>
      </c>
    </row>
    <row r="12" spans="1:17" ht="30">
      <c r="A12" s="334" t="s">
        <v>492</v>
      </c>
      <c r="B12" s="279">
        <v>5000</v>
      </c>
      <c r="C12" s="124">
        <v>2000</v>
      </c>
      <c r="D12" s="124">
        <f>B12-C12</f>
        <v>3000</v>
      </c>
      <c r="E12" s="280"/>
      <c r="F12" s="529">
        <v>5000</v>
      </c>
      <c r="G12" s="124">
        <f>C12</f>
        <v>2000</v>
      </c>
      <c r="H12" s="124">
        <v>3000</v>
      </c>
      <c r="I12" s="280"/>
      <c r="J12" s="518">
        <f>F12</f>
        <v>5000</v>
      </c>
      <c r="K12" s="124">
        <f>G12</f>
        <v>2000</v>
      </c>
      <c r="L12" s="124">
        <f>H12</f>
        <v>3000</v>
      </c>
      <c r="M12" s="670">
        <f>I12</f>
        <v>0</v>
      </c>
      <c r="N12" s="518">
        <f t="shared" si="1"/>
        <v>5000</v>
      </c>
      <c r="O12" s="124">
        <f t="shared" si="1"/>
        <v>2000</v>
      </c>
      <c r="P12" s="124">
        <f t="shared" si="1"/>
        <v>3000</v>
      </c>
      <c r="Q12" s="280">
        <f t="shared" si="1"/>
        <v>0</v>
      </c>
    </row>
    <row r="13" spans="1:17" ht="15">
      <c r="A13" s="334"/>
      <c r="B13" s="279"/>
      <c r="C13" s="124"/>
      <c r="D13" s="124"/>
      <c r="E13" s="280"/>
      <c r="F13" s="529"/>
      <c r="G13" s="124"/>
      <c r="H13" s="124"/>
      <c r="I13" s="280"/>
      <c r="J13" s="518"/>
      <c r="K13" s="124"/>
      <c r="L13" s="124"/>
      <c r="M13" s="670"/>
      <c r="N13" s="675"/>
      <c r="O13" s="674"/>
      <c r="P13" s="674"/>
      <c r="Q13" s="676"/>
    </row>
    <row r="14" spans="1:17" s="532" customFormat="1" ht="15">
      <c r="A14" s="335" t="s">
        <v>131</v>
      </c>
      <c r="B14" s="281">
        <f aca="true" t="shared" si="2" ref="B14:I14">SUM(B15:B16)</f>
        <v>26969</v>
      </c>
      <c r="C14" s="125">
        <f t="shared" si="2"/>
        <v>0</v>
      </c>
      <c r="D14" s="125">
        <f t="shared" si="2"/>
        <v>26969</v>
      </c>
      <c r="E14" s="182">
        <f t="shared" si="2"/>
        <v>0</v>
      </c>
      <c r="F14" s="530">
        <f t="shared" si="2"/>
        <v>26969</v>
      </c>
      <c r="G14" s="530">
        <f t="shared" si="2"/>
        <v>0</v>
      </c>
      <c r="H14" s="530">
        <f t="shared" si="2"/>
        <v>26969</v>
      </c>
      <c r="I14" s="531">
        <f t="shared" si="2"/>
        <v>0</v>
      </c>
      <c r="J14" s="341">
        <f>SUM(J15:J16)</f>
        <v>26969</v>
      </c>
      <c r="K14" s="530">
        <f>SUM(K15:K16)</f>
        <v>0</v>
      </c>
      <c r="L14" s="530">
        <f>SUM(L15:L16)</f>
        <v>26969</v>
      </c>
      <c r="M14" s="671">
        <f>SUM(M15:M16)</f>
        <v>0</v>
      </c>
      <c r="N14" s="341">
        <f>J14</f>
        <v>26969</v>
      </c>
      <c r="O14" s="125">
        <f aca="true" t="shared" si="3" ref="O14:Q16">K14</f>
        <v>0</v>
      </c>
      <c r="P14" s="125">
        <f t="shared" si="3"/>
        <v>26969</v>
      </c>
      <c r="Q14" s="182">
        <f t="shared" si="3"/>
        <v>0</v>
      </c>
    </row>
    <row r="15" spans="1:17" ht="15.75" customHeight="1">
      <c r="A15" s="334" t="s">
        <v>535</v>
      </c>
      <c r="B15" s="279">
        <v>9000</v>
      </c>
      <c r="C15" s="124"/>
      <c r="D15" s="124">
        <f>B15-C15</f>
        <v>9000</v>
      </c>
      <c r="E15" s="280"/>
      <c r="F15" s="529">
        <v>9000</v>
      </c>
      <c r="G15" s="124"/>
      <c r="H15" s="124">
        <v>9000</v>
      </c>
      <c r="I15" s="280"/>
      <c r="J15" s="518">
        <f aca="true" t="shared" si="4" ref="J15:M16">F15</f>
        <v>9000</v>
      </c>
      <c r="K15" s="124">
        <f t="shared" si="4"/>
        <v>0</v>
      </c>
      <c r="L15" s="124">
        <f t="shared" si="4"/>
        <v>9000</v>
      </c>
      <c r="M15" s="670">
        <f t="shared" si="4"/>
        <v>0</v>
      </c>
      <c r="N15" s="518">
        <f>J15</f>
        <v>9000</v>
      </c>
      <c r="O15" s="124">
        <f t="shared" si="3"/>
        <v>0</v>
      </c>
      <c r="P15" s="124">
        <f t="shared" si="3"/>
        <v>9000</v>
      </c>
      <c r="Q15" s="280">
        <f t="shared" si="3"/>
        <v>0</v>
      </c>
    </row>
    <row r="16" spans="1:17" ht="30">
      <c r="A16" s="334" t="s">
        <v>536</v>
      </c>
      <c r="B16" s="279">
        <v>17969</v>
      </c>
      <c r="C16" s="124"/>
      <c r="D16" s="124">
        <f>B16-C16</f>
        <v>17969</v>
      </c>
      <c r="E16" s="280"/>
      <c r="F16" s="529">
        <v>17969</v>
      </c>
      <c r="G16" s="124"/>
      <c r="H16" s="124">
        <v>17969</v>
      </c>
      <c r="I16" s="280"/>
      <c r="J16" s="518">
        <f t="shared" si="4"/>
        <v>17969</v>
      </c>
      <c r="K16" s="124">
        <f t="shared" si="4"/>
        <v>0</v>
      </c>
      <c r="L16" s="124">
        <f t="shared" si="4"/>
        <v>17969</v>
      </c>
      <c r="M16" s="670">
        <f t="shared" si="4"/>
        <v>0</v>
      </c>
      <c r="N16" s="518">
        <f>J16</f>
        <v>17969</v>
      </c>
      <c r="O16" s="124">
        <f t="shared" si="3"/>
        <v>0</v>
      </c>
      <c r="P16" s="124">
        <f t="shared" si="3"/>
        <v>17969</v>
      </c>
      <c r="Q16" s="280">
        <f t="shared" si="3"/>
        <v>0</v>
      </c>
    </row>
    <row r="17" spans="1:17" ht="15">
      <c r="A17" s="334"/>
      <c r="B17" s="279"/>
      <c r="C17" s="124"/>
      <c r="D17" s="124"/>
      <c r="E17" s="280"/>
      <c r="F17" s="529"/>
      <c r="G17" s="124"/>
      <c r="H17" s="124"/>
      <c r="I17" s="280"/>
      <c r="J17" s="518"/>
      <c r="K17" s="124"/>
      <c r="L17" s="124"/>
      <c r="M17" s="670"/>
      <c r="N17" s="675"/>
      <c r="O17" s="674"/>
      <c r="P17" s="674"/>
      <c r="Q17" s="676"/>
    </row>
    <row r="18" spans="1:17" s="532" customFormat="1" ht="15">
      <c r="A18" s="335" t="s">
        <v>132</v>
      </c>
      <c r="B18" s="281">
        <f>SUM(B19:B19)</f>
        <v>20000</v>
      </c>
      <c r="C18" s="125">
        <f>SUM(C19:C19)</f>
        <v>0</v>
      </c>
      <c r="D18" s="125">
        <f>SUM(D19:D19)</f>
        <v>20000</v>
      </c>
      <c r="E18" s="182">
        <f aca="true" t="shared" si="5" ref="E18:M18">SUM(E19:E20)</f>
        <v>10397</v>
      </c>
      <c r="F18" s="530">
        <f t="shared" si="5"/>
        <v>20000</v>
      </c>
      <c r="G18" s="530">
        <f t="shared" si="5"/>
        <v>0</v>
      </c>
      <c r="H18" s="530">
        <f t="shared" si="5"/>
        <v>20000</v>
      </c>
      <c r="I18" s="531">
        <f t="shared" si="5"/>
        <v>10397</v>
      </c>
      <c r="J18" s="341">
        <f t="shared" si="5"/>
        <v>20000</v>
      </c>
      <c r="K18" s="530">
        <f t="shared" si="5"/>
        <v>0</v>
      </c>
      <c r="L18" s="530">
        <f t="shared" si="5"/>
        <v>20000</v>
      </c>
      <c r="M18" s="671">
        <f t="shared" si="5"/>
        <v>10397</v>
      </c>
      <c r="N18" s="341">
        <f aca="true" t="shared" si="6" ref="N18:Q20">J18</f>
        <v>20000</v>
      </c>
      <c r="O18" s="125">
        <f t="shared" si="6"/>
        <v>0</v>
      </c>
      <c r="P18" s="125">
        <f t="shared" si="6"/>
        <v>20000</v>
      </c>
      <c r="Q18" s="182">
        <f t="shared" si="6"/>
        <v>10397</v>
      </c>
    </row>
    <row r="19" spans="1:17" ht="16.5" customHeight="1">
      <c r="A19" s="334" t="s">
        <v>538</v>
      </c>
      <c r="B19" s="279">
        <v>20000</v>
      </c>
      <c r="C19" s="124"/>
      <c r="D19" s="124">
        <f>B19-C19</f>
        <v>20000</v>
      </c>
      <c r="E19" s="280"/>
      <c r="F19" s="529">
        <v>20000</v>
      </c>
      <c r="G19" s="124"/>
      <c r="H19" s="124">
        <v>20000</v>
      </c>
      <c r="I19" s="280"/>
      <c r="J19" s="518">
        <f aca="true" t="shared" si="7" ref="J19:M20">F19</f>
        <v>20000</v>
      </c>
      <c r="K19" s="124">
        <f t="shared" si="7"/>
        <v>0</v>
      </c>
      <c r="L19" s="124">
        <f t="shared" si="7"/>
        <v>20000</v>
      </c>
      <c r="M19" s="670">
        <f t="shared" si="7"/>
        <v>0</v>
      </c>
      <c r="N19" s="518">
        <f t="shared" si="6"/>
        <v>20000</v>
      </c>
      <c r="O19" s="124">
        <f t="shared" si="6"/>
        <v>0</v>
      </c>
      <c r="P19" s="124">
        <f t="shared" si="6"/>
        <v>20000</v>
      </c>
      <c r="Q19" s="280">
        <f t="shared" si="6"/>
        <v>0</v>
      </c>
    </row>
    <row r="20" spans="1:17" ht="15">
      <c r="A20" s="334" t="s">
        <v>1044</v>
      </c>
      <c r="B20" s="279"/>
      <c r="C20" s="124"/>
      <c r="D20" s="124"/>
      <c r="E20" s="280">
        <v>10397</v>
      </c>
      <c r="F20" s="529"/>
      <c r="G20" s="124"/>
      <c r="H20" s="124"/>
      <c r="I20" s="280">
        <v>10397</v>
      </c>
      <c r="J20" s="518">
        <f t="shared" si="7"/>
        <v>0</v>
      </c>
      <c r="K20" s="124">
        <f t="shared" si="7"/>
        <v>0</v>
      </c>
      <c r="L20" s="124">
        <f t="shared" si="7"/>
        <v>0</v>
      </c>
      <c r="M20" s="670">
        <f t="shared" si="7"/>
        <v>10397</v>
      </c>
      <c r="N20" s="518">
        <f t="shared" si="6"/>
        <v>0</v>
      </c>
      <c r="O20" s="124">
        <f t="shared" si="6"/>
        <v>0</v>
      </c>
      <c r="P20" s="124">
        <f t="shared" si="6"/>
        <v>0</v>
      </c>
      <c r="Q20" s="280">
        <f t="shared" si="6"/>
        <v>10397</v>
      </c>
    </row>
    <row r="21" spans="1:17" ht="15">
      <c r="A21" s="334"/>
      <c r="B21" s="279"/>
      <c r="C21" s="124"/>
      <c r="D21" s="124"/>
      <c r="E21" s="280"/>
      <c r="F21" s="529"/>
      <c r="G21" s="124"/>
      <c r="H21" s="124"/>
      <c r="I21" s="280"/>
      <c r="J21" s="518"/>
      <c r="K21" s="124"/>
      <c r="L21" s="124"/>
      <c r="M21" s="670"/>
      <c r="N21" s="675"/>
      <c r="O21" s="674"/>
      <c r="P21" s="674"/>
      <c r="Q21" s="676"/>
    </row>
    <row r="22" spans="1:17" s="532" customFormat="1" ht="15">
      <c r="A22" s="335" t="s">
        <v>133</v>
      </c>
      <c r="B22" s="281">
        <f aca="true" t="shared" si="8" ref="B22:I22">SUM(B23:B25)</f>
        <v>83200</v>
      </c>
      <c r="C22" s="125">
        <f t="shared" si="8"/>
        <v>0</v>
      </c>
      <c r="D22" s="125">
        <f t="shared" si="8"/>
        <v>83200</v>
      </c>
      <c r="E22" s="182">
        <f t="shared" si="8"/>
        <v>0</v>
      </c>
      <c r="F22" s="530">
        <f t="shared" si="8"/>
        <v>83200</v>
      </c>
      <c r="G22" s="530">
        <f t="shared" si="8"/>
        <v>0</v>
      </c>
      <c r="H22" s="530">
        <f t="shared" si="8"/>
        <v>83200</v>
      </c>
      <c r="I22" s="531">
        <f t="shared" si="8"/>
        <v>0</v>
      </c>
      <c r="J22" s="341">
        <f>SUM(J23:J25)</f>
        <v>83200</v>
      </c>
      <c r="K22" s="530">
        <f>SUM(K23:K25)</f>
        <v>0</v>
      </c>
      <c r="L22" s="530">
        <f>SUM(L23:L25)</f>
        <v>83200</v>
      </c>
      <c r="M22" s="671">
        <f>SUM(M23:M25)</f>
        <v>0</v>
      </c>
      <c r="N22" s="341">
        <f>J22</f>
        <v>83200</v>
      </c>
      <c r="O22" s="125">
        <f aca="true" t="shared" si="9" ref="O22:Q25">K22</f>
        <v>0</v>
      </c>
      <c r="P22" s="125">
        <f t="shared" si="9"/>
        <v>83200</v>
      </c>
      <c r="Q22" s="182">
        <f t="shared" si="9"/>
        <v>0</v>
      </c>
    </row>
    <row r="23" spans="1:17" ht="30">
      <c r="A23" s="334" t="s">
        <v>83</v>
      </c>
      <c r="B23" s="279">
        <v>40000</v>
      </c>
      <c r="C23" s="124"/>
      <c r="D23" s="124">
        <f>B23-C23</f>
        <v>40000</v>
      </c>
      <c r="E23" s="280"/>
      <c r="F23" s="529">
        <v>40000</v>
      </c>
      <c r="G23" s="124"/>
      <c r="H23" s="124">
        <v>40000</v>
      </c>
      <c r="I23" s="280"/>
      <c r="J23" s="518">
        <f aca="true" t="shared" si="10" ref="J23:M25">F23</f>
        <v>40000</v>
      </c>
      <c r="K23" s="124">
        <f t="shared" si="10"/>
        <v>0</v>
      </c>
      <c r="L23" s="124">
        <f t="shared" si="10"/>
        <v>40000</v>
      </c>
      <c r="M23" s="670">
        <f t="shared" si="10"/>
        <v>0</v>
      </c>
      <c r="N23" s="518">
        <f>J23</f>
        <v>40000</v>
      </c>
      <c r="O23" s="124">
        <f t="shared" si="9"/>
        <v>0</v>
      </c>
      <c r="P23" s="124">
        <f t="shared" si="9"/>
        <v>40000</v>
      </c>
      <c r="Q23" s="280">
        <f t="shared" si="9"/>
        <v>0</v>
      </c>
    </row>
    <row r="24" spans="1:17" ht="15">
      <c r="A24" s="334" t="s">
        <v>84</v>
      </c>
      <c r="B24" s="279">
        <v>21200</v>
      </c>
      <c r="C24" s="124"/>
      <c r="D24" s="124">
        <f>B24-C24</f>
        <v>21200</v>
      </c>
      <c r="E24" s="280"/>
      <c r="F24" s="529">
        <v>21200</v>
      </c>
      <c r="G24" s="124"/>
      <c r="H24" s="124">
        <v>21200</v>
      </c>
      <c r="I24" s="280"/>
      <c r="J24" s="518">
        <f t="shared" si="10"/>
        <v>21200</v>
      </c>
      <c r="K24" s="124">
        <f t="shared" si="10"/>
        <v>0</v>
      </c>
      <c r="L24" s="124">
        <f t="shared" si="10"/>
        <v>21200</v>
      </c>
      <c r="M24" s="670">
        <f t="shared" si="10"/>
        <v>0</v>
      </c>
      <c r="N24" s="518">
        <f>J24</f>
        <v>21200</v>
      </c>
      <c r="O24" s="124">
        <f t="shared" si="9"/>
        <v>0</v>
      </c>
      <c r="P24" s="124">
        <f t="shared" si="9"/>
        <v>21200</v>
      </c>
      <c r="Q24" s="280">
        <f t="shared" si="9"/>
        <v>0</v>
      </c>
    </row>
    <row r="25" spans="1:17" ht="15">
      <c r="A25" s="334" t="s">
        <v>85</v>
      </c>
      <c r="B25" s="279">
        <v>22000</v>
      </c>
      <c r="C25" s="124"/>
      <c r="D25" s="124">
        <f>B25-C25</f>
        <v>22000</v>
      </c>
      <c r="E25" s="280"/>
      <c r="F25" s="529">
        <v>22000</v>
      </c>
      <c r="G25" s="124"/>
      <c r="H25" s="124">
        <v>22000</v>
      </c>
      <c r="I25" s="280"/>
      <c r="J25" s="518">
        <f t="shared" si="10"/>
        <v>22000</v>
      </c>
      <c r="K25" s="124">
        <f t="shared" si="10"/>
        <v>0</v>
      </c>
      <c r="L25" s="124">
        <f t="shared" si="10"/>
        <v>22000</v>
      </c>
      <c r="M25" s="670">
        <f t="shared" si="10"/>
        <v>0</v>
      </c>
      <c r="N25" s="518">
        <f>J25</f>
        <v>22000</v>
      </c>
      <c r="O25" s="124">
        <f t="shared" si="9"/>
        <v>0</v>
      </c>
      <c r="P25" s="124">
        <f t="shared" si="9"/>
        <v>22000</v>
      </c>
      <c r="Q25" s="280">
        <f t="shared" si="9"/>
        <v>0</v>
      </c>
    </row>
    <row r="26" spans="1:17" ht="15">
      <c r="A26" s="334"/>
      <c r="B26" s="279"/>
      <c r="C26" s="124"/>
      <c r="D26" s="124"/>
      <c r="E26" s="280"/>
      <c r="F26" s="529"/>
      <c r="G26" s="124"/>
      <c r="H26" s="124"/>
      <c r="I26" s="280"/>
      <c r="J26" s="518"/>
      <c r="K26" s="124"/>
      <c r="L26" s="124"/>
      <c r="M26" s="670"/>
      <c r="N26" s="675"/>
      <c r="O26" s="674"/>
      <c r="P26" s="674"/>
      <c r="Q26" s="676"/>
    </row>
    <row r="27" spans="1:17" s="532" customFormat="1" ht="18" customHeight="1">
      <c r="A27" s="335" t="s">
        <v>135</v>
      </c>
      <c r="B27" s="281">
        <f aca="true" t="shared" si="11" ref="B27:I27">SUM(B28:B30)</f>
        <v>21372</v>
      </c>
      <c r="C27" s="125">
        <f t="shared" si="11"/>
        <v>0</v>
      </c>
      <c r="D27" s="125">
        <f t="shared" si="11"/>
        <v>21372</v>
      </c>
      <c r="E27" s="182">
        <f t="shared" si="11"/>
        <v>0</v>
      </c>
      <c r="F27" s="530">
        <f t="shared" si="11"/>
        <v>21372</v>
      </c>
      <c r="G27" s="530">
        <f t="shared" si="11"/>
        <v>0</v>
      </c>
      <c r="H27" s="530">
        <f t="shared" si="11"/>
        <v>21372</v>
      </c>
      <c r="I27" s="531">
        <f t="shared" si="11"/>
        <v>0</v>
      </c>
      <c r="J27" s="341">
        <f>SUM(J28:J30)</f>
        <v>21372</v>
      </c>
      <c r="K27" s="530">
        <f>SUM(K28:K30)</f>
        <v>0</v>
      </c>
      <c r="L27" s="530">
        <f>SUM(L28:L30)</f>
        <v>21372</v>
      </c>
      <c r="M27" s="671">
        <f>SUM(M28:M30)</f>
        <v>0</v>
      </c>
      <c r="N27" s="341">
        <f aca="true" t="shared" si="12" ref="N27:Q30">J27</f>
        <v>21372</v>
      </c>
      <c r="O27" s="125">
        <f t="shared" si="12"/>
        <v>0</v>
      </c>
      <c r="P27" s="125">
        <f t="shared" si="12"/>
        <v>21372</v>
      </c>
      <c r="Q27" s="182">
        <f t="shared" si="12"/>
        <v>0</v>
      </c>
    </row>
    <row r="28" spans="1:17" ht="15" customHeight="1">
      <c r="A28" s="334" t="s">
        <v>493</v>
      </c>
      <c r="B28" s="279">
        <v>6300</v>
      </c>
      <c r="C28" s="124"/>
      <c r="D28" s="124">
        <f>B28-C28</f>
        <v>6300</v>
      </c>
      <c r="E28" s="280"/>
      <c r="F28" s="529">
        <v>6300</v>
      </c>
      <c r="G28" s="124"/>
      <c r="H28" s="124">
        <v>6300</v>
      </c>
      <c r="I28" s="280"/>
      <c r="J28" s="518">
        <f aca="true" t="shared" si="13" ref="J28:M30">F28</f>
        <v>6300</v>
      </c>
      <c r="K28" s="529">
        <f t="shared" si="13"/>
        <v>0</v>
      </c>
      <c r="L28" s="529">
        <f t="shared" si="13"/>
        <v>6300</v>
      </c>
      <c r="M28" s="672">
        <f t="shared" si="13"/>
        <v>0</v>
      </c>
      <c r="N28" s="518">
        <f t="shared" si="12"/>
        <v>6300</v>
      </c>
      <c r="O28" s="124">
        <f t="shared" si="12"/>
        <v>0</v>
      </c>
      <c r="P28" s="124">
        <f t="shared" si="12"/>
        <v>6300</v>
      </c>
      <c r="Q28" s="280">
        <f t="shared" si="12"/>
        <v>0</v>
      </c>
    </row>
    <row r="29" spans="1:17" ht="15">
      <c r="A29" s="334" t="s">
        <v>86</v>
      </c>
      <c r="B29" s="279">
        <v>10000</v>
      </c>
      <c r="C29" s="124"/>
      <c r="D29" s="124">
        <f>B29-C29</f>
        <v>10000</v>
      </c>
      <c r="E29" s="280"/>
      <c r="F29" s="529">
        <v>10000</v>
      </c>
      <c r="G29" s="124"/>
      <c r="H29" s="124">
        <v>10000</v>
      </c>
      <c r="I29" s="280"/>
      <c r="J29" s="518">
        <f t="shared" si="13"/>
        <v>10000</v>
      </c>
      <c r="K29" s="529">
        <f t="shared" si="13"/>
        <v>0</v>
      </c>
      <c r="L29" s="529">
        <f t="shared" si="13"/>
        <v>10000</v>
      </c>
      <c r="M29" s="672">
        <f t="shared" si="13"/>
        <v>0</v>
      </c>
      <c r="N29" s="518">
        <f t="shared" si="12"/>
        <v>10000</v>
      </c>
      <c r="O29" s="124">
        <f t="shared" si="12"/>
        <v>0</v>
      </c>
      <c r="P29" s="124">
        <f t="shared" si="12"/>
        <v>10000</v>
      </c>
      <c r="Q29" s="280">
        <f t="shared" si="12"/>
        <v>0</v>
      </c>
    </row>
    <row r="30" spans="1:17" ht="12.75" customHeight="1">
      <c r="A30" s="334" t="s">
        <v>92</v>
      </c>
      <c r="B30" s="279">
        <v>5072</v>
      </c>
      <c r="C30" s="124"/>
      <c r="D30" s="124">
        <f>B30-C30</f>
        <v>5072</v>
      </c>
      <c r="E30" s="280"/>
      <c r="F30" s="529">
        <v>5072</v>
      </c>
      <c r="G30" s="124"/>
      <c r="H30" s="124">
        <v>5072</v>
      </c>
      <c r="I30" s="280"/>
      <c r="J30" s="518">
        <f t="shared" si="13"/>
        <v>5072</v>
      </c>
      <c r="K30" s="529">
        <f t="shared" si="13"/>
        <v>0</v>
      </c>
      <c r="L30" s="529">
        <f t="shared" si="13"/>
        <v>5072</v>
      </c>
      <c r="M30" s="672">
        <f t="shared" si="13"/>
        <v>0</v>
      </c>
      <c r="N30" s="518">
        <f t="shared" si="12"/>
        <v>5072</v>
      </c>
      <c r="O30" s="124">
        <f t="shared" si="12"/>
        <v>0</v>
      </c>
      <c r="P30" s="124">
        <f t="shared" si="12"/>
        <v>5072</v>
      </c>
      <c r="Q30" s="280">
        <f t="shared" si="12"/>
        <v>0</v>
      </c>
    </row>
    <row r="31" spans="1:17" ht="15">
      <c r="A31" s="334"/>
      <c r="B31" s="279"/>
      <c r="C31" s="124"/>
      <c r="D31" s="124"/>
      <c r="E31" s="280"/>
      <c r="F31" s="529"/>
      <c r="G31" s="124"/>
      <c r="H31" s="124"/>
      <c r="I31" s="280"/>
      <c r="J31" s="518"/>
      <c r="K31" s="124"/>
      <c r="L31" s="124"/>
      <c r="M31" s="670"/>
      <c r="N31" s="675"/>
      <c r="O31" s="674"/>
      <c r="P31" s="674"/>
      <c r="Q31" s="676"/>
    </row>
    <row r="32" spans="1:17" s="532" customFormat="1" ht="16.5" customHeight="1">
      <c r="A32" s="335" t="s">
        <v>134</v>
      </c>
      <c r="B32" s="281">
        <f aca="true" t="shared" si="14" ref="B32:I32">SUM(B33:B35)</f>
        <v>6553</v>
      </c>
      <c r="C32" s="125">
        <f t="shared" si="14"/>
        <v>0</v>
      </c>
      <c r="D32" s="125">
        <f t="shared" si="14"/>
        <v>6553</v>
      </c>
      <c r="E32" s="182">
        <f t="shared" si="14"/>
        <v>0</v>
      </c>
      <c r="F32" s="530">
        <f t="shared" si="14"/>
        <v>6553</v>
      </c>
      <c r="G32" s="530">
        <f t="shared" si="14"/>
        <v>0</v>
      </c>
      <c r="H32" s="530">
        <f t="shared" si="14"/>
        <v>6553</v>
      </c>
      <c r="I32" s="531">
        <f t="shared" si="14"/>
        <v>0</v>
      </c>
      <c r="J32" s="341">
        <f>SUM(J33:J35)</f>
        <v>6553</v>
      </c>
      <c r="K32" s="530">
        <f>SUM(K33:K35)</f>
        <v>0</v>
      </c>
      <c r="L32" s="530">
        <f>SUM(L33:L35)</f>
        <v>6553</v>
      </c>
      <c r="M32" s="671">
        <f>SUM(M33:M35)</f>
        <v>0</v>
      </c>
      <c r="N32" s="341">
        <f>J32</f>
        <v>6553</v>
      </c>
      <c r="O32" s="125">
        <f aca="true" t="shared" si="15" ref="O32:Q35">K32</f>
        <v>0</v>
      </c>
      <c r="P32" s="125">
        <f t="shared" si="15"/>
        <v>6553</v>
      </c>
      <c r="Q32" s="182">
        <f t="shared" si="15"/>
        <v>0</v>
      </c>
    </row>
    <row r="33" spans="1:17" ht="15">
      <c r="A33" s="334" t="s">
        <v>93</v>
      </c>
      <c r="B33" s="279">
        <v>739</v>
      </c>
      <c r="C33" s="124"/>
      <c r="D33" s="124">
        <f>B33-C33</f>
        <v>739</v>
      </c>
      <c r="E33" s="280"/>
      <c r="F33" s="529">
        <v>739</v>
      </c>
      <c r="G33" s="124"/>
      <c r="H33" s="124">
        <v>739</v>
      </c>
      <c r="I33" s="280"/>
      <c r="J33" s="518">
        <f aca="true" t="shared" si="16" ref="J33:M35">F33</f>
        <v>739</v>
      </c>
      <c r="K33" s="529">
        <f t="shared" si="16"/>
        <v>0</v>
      </c>
      <c r="L33" s="529">
        <f t="shared" si="16"/>
        <v>739</v>
      </c>
      <c r="M33" s="672">
        <f t="shared" si="16"/>
        <v>0</v>
      </c>
      <c r="N33" s="518">
        <f>J33</f>
        <v>739</v>
      </c>
      <c r="O33" s="124">
        <f t="shared" si="15"/>
        <v>0</v>
      </c>
      <c r="P33" s="124">
        <f t="shared" si="15"/>
        <v>739</v>
      </c>
      <c r="Q33" s="280">
        <f t="shared" si="15"/>
        <v>0</v>
      </c>
    </row>
    <row r="34" spans="1:17" ht="15">
      <c r="A34" s="334" t="s">
        <v>224</v>
      </c>
      <c r="B34" s="279">
        <v>2314</v>
      </c>
      <c r="C34" s="124"/>
      <c r="D34" s="124">
        <f>B34-C34</f>
        <v>2314</v>
      </c>
      <c r="E34" s="280"/>
      <c r="F34" s="529">
        <v>2314</v>
      </c>
      <c r="G34" s="124"/>
      <c r="H34" s="124">
        <v>2314</v>
      </c>
      <c r="I34" s="280"/>
      <c r="J34" s="518">
        <f t="shared" si="16"/>
        <v>2314</v>
      </c>
      <c r="K34" s="529">
        <f t="shared" si="16"/>
        <v>0</v>
      </c>
      <c r="L34" s="529">
        <f t="shared" si="16"/>
        <v>2314</v>
      </c>
      <c r="M34" s="672">
        <f t="shared" si="16"/>
        <v>0</v>
      </c>
      <c r="N34" s="518">
        <f>J34</f>
        <v>2314</v>
      </c>
      <c r="O34" s="124">
        <f t="shared" si="15"/>
        <v>0</v>
      </c>
      <c r="P34" s="124">
        <f t="shared" si="15"/>
        <v>2314</v>
      </c>
      <c r="Q34" s="280">
        <f t="shared" si="15"/>
        <v>0</v>
      </c>
    </row>
    <row r="35" spans="1:17" ht="15">
      <c r="A35" s="334" t="s">
        <v>225</v>
      </c>
      <c r="B35" s="279">
        <v>3500</v>
      </c>
      <c r="C35" s="124"/>
      <c r="D35" s="124">
        <f>B35-C35</f>
        <v>3500</v>
      </c>
      <c r="E35" s="280"/>
      <c r="F35" s="529">
        <v>3500</v>
      </c>
      <c r="G35" s="124"/>
      <c r="H35" s="124">
        <v>3500</v>
      </c>
      <c r="I35" s="280"/>
      <c r="J35" s="518">
        <f t="shared" si="16"/>
        <v>3500</v>
      </c>
      <c r="K35" s="529">
        <f t="shared" si="16"/>
        <v>0</v>
      </c>
      <c r="L35" s="529">
        <f t="shared" si="16"/>
        <v>3500</v>
      </c>
      <c r="M35" s="672">
        <f t="shared" si="16"/>
        <v>0</v>
      </c>
      <c r="N35" s="518">
        <f>J35</f>
        <v>3500</v>
      </c>
      <c r="O35" s="124">
        <f t="shared" si="15"/>
        <v>0</v>
      </c>
      <c r="P35" s="124">
        <f t="shared" si="15"/>
        <v>3500</v>
      </c>
      <c r="Q35" s="280">
        <f t="shared" si="15"/>
        <v>0</v>
      </c>
    </row>
    <row r="36" spans="1:17" ht="15">
      <c r="A36" s="334"/>
      <c r="B36" s="279"/>
      <c r="C36" s="124"/>
      <c r="D36" s="124"/>
      <c r="E36" s="280"/>
      <c r="F36" s="529"/>
      <c r="G36" s="124"/>
      <c r="H36" s="124"/>
      <c r="I36" s="280"/>
      <c r="J36" s="518"/>
      <c r="K36" s="124"/>
      <c r="L36" s="124"/>
      <c r="M36" s="670"/>
      <c r="N36" s="675"/>
      <c r="O36" s="674"/>
      <c r="P36" s="674"/>
      <c r="Q36" s="676"/>
    </row>
    <row r="37" spans="1:17" ht="15.75" thickBot="1">
      <c r="A37" s="336" t="s">
        <v>275</v>
      </c>
      <c r="B37" s="282">
        <f aca="true" t="shared" si="17" ref="B37:I37">SUM(B8,B14,B18,B22,B27,B32)</f>
        <v>1377840</v>
      </c>
      <c r="C37" s="126">
        <f t="shared" si="17"/>
        <v>849017</v>
      </c>
      <c r="D37" s="126">
        <f t="shared" si="17"/>
        <v>479958</v>
      </c>
      <c r="E37" s="127">
        <f t="shared" si="17"/>
        <v>59262</v>
      </c>
      <c r="F37" s="517">
        <f t="shared" si="17"/>
        <v>1377840</v>
      </c>
      <c r="G37" s="126">
        <f t="shared" si="17"/>
        <v>849017</v>
      </c>
      <c r="H37" s="126">
        <f t="shared" si="17"/>
        <v>479958</v>
      </c>
      <c r="I37" s="127">
        <f t="shared" si="17"/>
        <v>59262</v>
      </c>
      <c r="J37" s="282">
        <f>SUM(J8,J14,J18,J22,J27,J32)</f>
        <v>1538976</v>
      </c>
      <c r="K37" s="126">
        <f>SUM(K8,K14,K18,K22,K27,K32)</f>
        <v>849017</v>
      </c>
      <c r="L37" s="126">
        <f>SUM(L8,L14,L18,L22,L27,L32)</f>
        <v>641094</v>
      </c>
      <c r="M37" s="673">
        <f>SUM(M8,M14,M18,M22,M27,M32)</f>
        <v>59262</v>
      </c>
      <c r="N37" s="282">
        <f>J37</f>
        <v>1538976</v>
      </c>
      <c r="O37" s="126">
        <f>K37</f>
        <v>849017</v>
      </c>
      <c r="P37" s="126">
        <f>L37</f>
        <v>641094</v>
      </c>
      <c r="Q37" s="127">
        <f>M37</f>
        <v>59262</v>
      </c>
    </row>
    <row r="38" spans="1:13" ht="15.75" customHeight="1">
      <c r="A38" s="179"/>
      <c r="B38" s="179"/>
      <c r="C38" s="179"/>
      <c r="D38" s="179"/>
      <c r="E38" s="179"/>
      <c r="F38" s="533"/>
      <c r="G38" s="533"/>
      <c r="H38" s="533"/>
      <c r="I38" s="533"/>
      <c r="J38" s="533"/>
      <c r="K38" s="533"/>
      <c r="L38" s="533"/>
      <c r="M38" s="533"/>
    </row>
    <row r="39" spans="1:17" ht="15">
      <c r="A39" s="1303"/>
      <c r="B39" s="1303"/>
      <c r="C39" s="1303"/>
      <c r="D39" s="1303"/>
      <c r="E39" s="1303"/>
      <c r="F39" s="1303"/>
      <c r="G39" s="1303"/>
      <c r="H39" s="1303"/>
      <c r="I39" s="1303"/>
      <c r="J39" s="1303"/>
      <c r="K39" s="1303"/>
      <c r="L39" s="1303"/>
      <c r="M39" s="1303"/>
      <c r="N39" s="1303"/>
      <c r="O39" s="1303"/>
      <c r="P39" s="1303"/>
      <c r="Q39" s="1303"/>
    </row>
    <row r="40" spans="1:13" ht="15">
      <c r="A40" s="179"/>
      <c r="B40" s="179"/>
      <c r="C40" s="179"/>
      <c r="D40" s="179"/>
      <c r="E40" s="179"/>
      <c r="F40" s="533"/>
      <c r="G40" s="533"/>
      <c r="H40" s="533"/>
      <c r="I40" s="533"/>
      <c r="J40" s="533"/>
      <c r="K40" s="533"/>
      <c r="L40" s="533"/>
      <c r="M40" s="533"/>
    </row>
    <row r="41" spans="1:17" ht="15">
      <c r="A41" s="1304" t="s">
        <v>606</v>
      </c>
      <c r="B41" s="1304"/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</row>
    <row r="42" spans="1:13" ht="15.75" thickBot="1">
      <c r="A42" s="337"/>
      <c r="B42" s="337"/>
      <c r="C42" s="337"/>
      <c r="D42" s="337"/>
      <c r="E42" s="337"/>
      <c r="F42" s="533"/>
      <c r="G42" s="533"/>
      <c r="H42" s="533"/>
      <c r="I42" s="533"/>
      <c r="J42" s="533"/>
      <c r="K42" s="533"/>
      <c r="L42" s="533"/>
      <c r="M42" s="533"/>
    </row>
    <row r="43" spans="1:17" ht="15.75" thickBot="1">
      <c r="A43" s="1294" t="s">
        <v>283</v>
      </c>
      <c r="B43" s="1292" t="s">
        <v>4</v>
      </c>
      <c r="C43" s="1292"/>
      <c r="D43" s="1292"/>
      <c r="E43" s="1293"/>
      <c r="F43" s="1315" t="s">
        <v>668</v>
      </c>
      <c r="G43" s="1292"/>
      <c r="H43" s="1292"/>
      <c r="I43" s="1293"/>
      <c r="J43" s="1284" t="s">
        <v>733</v>
      </c>
      <c r="K43" s="1285"/>
      <c r="L43" s="1285"/>
      <c r="M43" s="1286"/>
      <c r="N43" s="1284" t="s">
        <v>799</v>
      </c>
      <c r="O43" s="1285"/>
      <c r="P43" s="1285"/>
      <c r="Q43" s="1286"/>
    </row>
    <row r="44" spans="1:17" ht="15" customHeight="1">
      <c r="A44" s="1295"/>
      <c r="B44" s="1297" t="s">
        <v>305</v>
      </c>
      <c r="C44" s="1301" t="s">
        <v>284</v>
      </c>
      <c r="D44" s="1301"/>
      <c r="E44" s="1302"/>
      <c r="F44" s="1313" t="s">
        <v>305</v>
      </c>
      <c r="G44" s="1310" t="s">
        <v>284</v>
      </c>
      <c r="H44" s="1311"/>
      <c r="I44" s="1312"/>
      <c r="J44" s="1299" t="s">
        <v>305</v>
      </c>
      <c r="K44" s="1301" t="s">
        <v>284</v>
      </c>
      <c r="L44" s="1301"/>
      <c r="M44" s="1302"/>
      <c r="N44" s="1299" t="s">
        <v>305</v>
      </c>
      <c r="O44" s="1301" t="s">
        <v>284</v>
      </c>
      <c r="P44" s="1301"/>
      <c r="Q44" s="1302"/>
    </row>
    <row r="45" spans="1:17" ht="43.5" customHeight="1" thickBot="1">
      <c r="A45" s="1296"/>
      <c r="B45" s="1298"/>
      <c r="C45" s="338" t="s">
        <v>285</v>
      </c>
      <c r="D45" s="338" t="s">
        <v>490</v>
      </c>
      <c r="E45" s="339" t="s">
        <v>491</v>
      </c>
      <c r="F45" s="1314"/>
      <c r="G45" s="338" t="s">
        <v>285</v>
      </c>
      <c r="H45" s="338" t="s">
        <v>490</v>
      </c>
      <c r="I45" s="339" t="s">
        <v>491</v>
      </c>
      <c r="J45" s="1305"/>
      <c r="K45" s="338" t="s">
        <v>285</v>
      </c>
      <c r="L45" s="338" t="s">
        <v>490</v>
      </c>
      <c r="M45" s="339" t="s">
        <v>491</v>
      </c>
      <c r="N45" s="1300"/>
      <c r="O45" s="682" t="s">
        <v>285</v>
      </c>
      <c r="P45" s="682" t="s">
        <v>490</v>
      </c>
      <c r="Q45" s="683" t="s">
        <v>491</v>
      </c>
    </row>
    <row r="46" spans="1:17" ht="15">
      <c r="A46" s="340"/>
      <c r="B46" s="185"/>
      <c r="C46" s="185"/>
      <c r="D46" s="185"/>
      <c r="E46" s="186"/>
      <c r="F46" s="185"/>
      <c r="G46" s="185"/>
      <c r="H46" s="185"/>
      <c r="I46" s="186"/>
      <c r="J46" s="340"/>
      <c r="K46" s="185"/>
      <c r="L46" s="185"/>
      <c r="M46" s="677"/>
      <c r="N46" s="684"/>
      <c r="O46" s="685"/>
      <c r="P46" s="685"/>
      <c r="Q46" s="686"/>
    </row>
    <row r="47" spans="1:17" s="534" customFormat="1" ht="15">
      <c r="A47" s="341" t="s">
        <v>603</v>
      </c>
      <c r="B47" s="125">
        <f aca="true" t="shared" si="18" ref="B47:I47">SUM(B48)</f>
        <v>147300</v>
      </c>
      <c r="C47" s="125">
        <f t="shared" si="18"/>
        <v>0</v>
      </c>
      <c r="D47" s="125">
        <f t="shared" si="18"/>
        <v>147300</v>
      </c>
      <c r="E47" s="182">
        <f t="shared" si="18"/>
        <v>0</v>
      </c>
      <c r="F47" s="125">
        <f>SUM(F48)</f>
        <v>147300</v>
      </c>
      <c r="G47" s="125">
        <f t="shared" si="18"/>
        <v>0</v>
      </c>
      <c r="H47" s="125">
        <f t="shared" si="18"/>
        <v>147300</v>
      </c>
      <c r="I47" s="182">
        <f t="shared" si="18"/>
        <v>0</v>
      </c>
      <c r="J47" s="341">
        <f>SUM(J48)</f>
        <v>0</v>
      </c>
      <c r="K47" s="125">
        <f>SUM(K48)</f>
        <v>0</v>
      </c>
      <c r="L47" s="125">
        <f>SUM(L48)</f>
        <v>0</v>
      </c>
      <c r="M47" s="678">
        <f>SUM(M48)</f>
        <v>0</v>
      </c>
      <c r="N47" s="341">
        <f>J47</f>
        <v>0</v>
      </c>
      <c r="O47" s="125">
        <f aca="true" t="shared" si="19" ref="O47:Q48">K47</f>
        <v>0</v>
      </c>
      <c r="P47" s="125">
        <f t="shared" si="19"/>
        <v>0</v>
      </c>
      <c r="Q47" s="182">
        <f t="shared" si="19"/>
        <v>0</v>
      </c>
    </row>
    <row r="48" spans="1:17" ht="15">
      <c r="A48" s="535" t="s">
        <v>52</v>
      </c>
      <c r="B48" s="124">
        <v>147300</v>
      </c>
      <c r="C48" s="124">
        <v>0</v>
      </c>
      <c r="D48" s="124">
        <f>B48-C48</f>
        <v>147300</v>
      </c>
      <c r="E48" s="181"/>
      <c r="F48" s="124">
        <v>147300</v>
      </c>
      <c r="G48" s="124">
        <v>0</v>
      </c>
      <c r="H48" s="124">
        <f>F48-G48</f>
        <v>147300</v>
      </c>
      <c r="I48" s="181"/>
      <c r="J48" s="518">
        <v>0</v>
      </c>
      <c r="K48" s="124">
        <f>G48</f>
        <v>0</v>
      </c>
      <c r="L48" s="124">
        <v>0</v>
      </c>
      <c r="M48" s="670">
        <f>I48</f>
        <v>0</v>
      </c>
      <c r="N48" s="518">
        <f>J48</f>
        <v>0</v>
      </c>
      <c r="O48" s="124">
        <f t="shared" si="19"/>
        <v>0</v>
      </c>
      <c r="P48" s="124">
        <f t="shared" si="19"/>
        <v>0</v>
      </c>
      <c r="Q48" s="280">
        <f t="shared" si="19"/>
        <v>0</v>
      </c>
    </row>
    <row r="49" spans="1:17" ht="15">
      <c r="A49" s="342"/>
      <c r="B49" s="180"/>
      <c r="C49" s="180"/>
      <c r="D49" s="180"/>
      <c r="E49" s="181"/>
      <c r="F49" s="180"/>
      <c r="G49" s="180"/>
      <c r="H49" s="180"/>
      <c r="I49" s="181"/>
      <c r="J49" s="342"/>
      <c r="K49" s="180"/>
      <c r="L49" s="180"/>
      <c r="M49" s="679"/>
      <c r="N49" s="675"/>
      <c r="O49" s="674"/>
      <c r="P49" s="674"/>
      <c r="Q49" s="676"/>
    </row>
    <row r="50" spans="1:17" ht="15">
      <c r="A50" s="536" t="s">
        <v>601</v>
      </c>
      <c r="B50" s="537">
        <f aca="true" t="shared" si="20" ref="B50:I50">SUM(B51:B52)</f>
        <v>6350</v>
      </c>
      <c r="C50" s="537">
        <f t="shared" si="20"/>
        <v>0</v>
      </c>
      <c r="D50" s="537">
        <f t="shared" si="20"/>
        <v>6350</v>
      </c>
      <c r="E50" s="538">
        <f t="shared" si="20"/>
        <v>0</v>
      </c>
      <c r="F50" s="537">
        <f t="shared" si="20"/>
        <v>6350</v>
      </c>
      <c r="G50" s="537">
        <f t="shared" si="20"/>
        <v>0</v>
      </c>
      <c r="H50" s="537">
        <f t="shared" si="20"/>
        <v>6350</v>
      </c>
      <c r="I50" s="538">
        <f t="shared" si="20"/>
        <v>0</v>
      </c>
      <c r="J50" s="281">
        <f>SUM(J51)</f>
        <v>6350</v>
      </c>
      <c r="K50" s="537">
        <f>SUM(K51)</f>
        <v>0</v>
      </c>
      <c r="L50" s="537">
        <f>SUM(L51)</f>
        <v>6350</v>
      </c>
      <c r="M50" s="680">
        <f>SUM(M51)</f>
        <v>0</v>
      </c>
      <c r="N50" s="341">
        <v>0</v>
      </c>
      <c r="O50" s="125">
        <f aca="true" t="shared" si="21" ref="O50:Q51">K50</f>
        <v>0</v>
      </c>
      <c r="P50" s="125">
        <v>0</v>
      </c>
      <c r="Q50" s="182">
        <f t="shared" si="21"/>
        <v>0</v>
      </c>
    </row>
    <row r="51" spans="1:17" ht="15">
      <c r="A51" s="535" t="s">
        <v>602</v>
      </c>
      <c r="B51" s="539">
        <v>6350</v>
      </c>
      <c r="C51" s="180"/>
      <c r="D51" s="124">
        <f>B51-C51</f>
        <v>6350</v>
      </c>
      <c r="E51" s="181"/>
      <c r="F51" s="539">
        <v>6350</v>
      </c>
      <c r="G51" s="180"/>
      <c r="H51" s="124">
        <f>F51-G51</f>
        <v>6350</v>
      </c>
      <c r="I51" s="181"/>
      <c r="J51" s="279">
        <f>F51</f>
        <v>6350</v>
      </c>
      <c r="K51" s="539">
        <f>G51</f>
        <v>0</v>
      </c>
      <c r="L51" s="539">
        <f>H51</f>
        <v>6350</v>
      </c>
      <c r="M51" s="681">
        <f>I51</f>
        <v>0</v>
      </c>
      <c r="N51" s="518">
        <v>0</v>
      </c>
      <c r="O51" s="124">
        <f t="shared" si="21"/>
        <v>0</v>
      </c>
      <c r="P51" s="124">
        <v>0</v>
      </c>
      <c r="Q51" s="280">
        <f t="shared" si="21"/>
        <v>0</v>
      </c>
    </row>
    <row r="52" spans="1:17" ht="15">
      <c r="A52" s="342"/>
      <c r="B52" s="180"/>
      <c r="C52" s="180"/>
      <c r="D52" s="180"/>
      <c r="E52" s="181"/>
      <c r="F52" s="180"/>
      <c r="G52" s="180"/>
      <c r="H52" s="180"/>
      <c r="I52" s="181"/>
      <c r="J52" s="342"/>
      <c r="K52" s="180"/>
      <c r="L52" s="180"/>
      <c r="M52" s="679"/>
      <c r="N52" s="675"/>
      <c r="O52" s="674"/>
      <c r="P52" s="674"/>
      <c r="Q52" s="676"/>
    </row>
    <row r="53" spans="1:17" ht="15">
      <c r="A53" s="536" t="s">
        <v>131</v>
      </c>
      <c r="B53" s="537">
        <f>SUM(B54:B55)</f>
        <v>16392</v>
      </c>
      <c r="C53" s="180"/>
      <c r="D53" s="180">
        <f>B53-C53</f>
        <v>16392</v>
      </c>
      <c r="E53" s="181"/>
      <c r="F53" s="537">
        <f>SUM(F54:F55)</f>
        <v>16392</v>
      </c>
      <c r="G53" s="180"/>
      <c r="H53" s="180">
        <f>F53-G53</f>
        <v>16392</v>
      </c>
      <c r="I53" s="181"/>
      <c r="J53" s="281">
        <f>SUM(J54:J55)</f>
        <v>2556</v>
      </c>
      <c r="K53" s="537">
        <f>SUM(K54:K55)</f>
        <v>0</v>
      </c>
      <c r="L53" s="537">
        <f>SUM(L54:L55)</f>
        <v>2556</v>
      </c>
      <c r="M53" s="680">
        <f>SUM(M54:M55)</f>
        <v>0</v>
      </c>
      <c r="N53" s="341">
        <v>0</v>
      </c>
      <c r="O53" s="125">
        <f aca="true" t="shared" si="22" ref="O53:Q55">K53</f>
        <v>0</v>
      </c>
      <c r="P53" s="125">
        <v>0</v>
      </c>
      <c r="Q53" s="182">
        <f t="shared" si="22"/>
        <v>0</v>
      </c>
    </row>
    <row r="54" spans="1:17" ht="30">
      <c r="A54" s="535" t="s">
        <v>61</v>
      </c>
      <c r="B54" s="539">
        <v>15000</v>
      </c>
      <c r="C54" s="180"/>
      <c r="D54" s="124">
        <f>B54-C54</f>
        <v>15000</v>
      </c>
      <c r="E54" s="181"/>
      <c r="F54" s="539">
        <v>15000</v>
      </c>
      <c r="G54" s="180"/>
      <c r="H54" s="124">
        <f>F54-G54</f>
        <v>15000</v>
      </c>
      <c r="I54" s="181"/>
      <c r="J54" s="279">
        <f>F54-13836</f>
        <v>1164</v>
      </c>
      <c r="K54" s="539">
        <f>G54</f>
        <v>0</v>
      </c>
      <c r="L54" s="539">
        <f>J54</f>
        <v>1164</v>
      </c>
      <c r="M54" s="681">
        <f>I54</f>
        <v>0</v>
      </c>
      <c r="N54" s="518">
        <v>0</v>
      </c>
      <c r="O54" s="124">
        <f t="shared" si="22"/>
        <v>0</v>
      </c>
      <c r="P54" s="124">
        <v>0</v>
      </c>
      <c r="Q54" s="280">
        <f t="shared" si="22"/>
        <v>0</v>
      </c>
    </row>
    <row r="55" spans="1:17" ht="15">
      <c r="A55" s="535" t="s">
        <v>604</v>
      </c>
      <c r="B55" s="539">
        <v>1392</v>
      </c>
      <c r="C55" s="180"/>
      <c r="D55" s="124">
        <f>B55-C55</f>
        <v>1392</v>
      </c>
      <c r="E55" s="181"/>
      <c r="F55" s="539">
        <v>1392</v>
      </c>
      <c r="G55" s="180"/>
      <c r="H55" s="124">
        <f>F55-G55</f>
        <v>1392</v>
      </c>
      <c r="I55" s="181"/>
      <c r="J55" s="279">
        <f>F55</f>
        <v>1392</v>
      </c>
      <c r="K55" s="539">
        <f>G55</f>
        <v>0</v>
      </c>
      <c r="L55" s="539">
        <f>H55</f>
        <v>1392</v>
      </c>
      <c r="M55" s="681">
        <f>I55</f>
        <v>0</v>
      </c>
      <c r="N55" s="518">
        <v>0</v>
      </c>
      <c r="O55" s="124">
        <f t="shared" si="22"/>
        <v>0</v>
      </c>
      <c r="P55" s="124">
        <v>0</v>
      </c>
      <c r="Q55" s="280">
        <f t="shared" si="22"/>
        <v>0</v>
      </c>
    </row>
    <row r="56" spans="1:17" ht="15">
      <c r="A56" s="342"/>
      <c r="B56" s="180"/>
      <c r="C56" s="180"/>
      <c r="D56" s="180"/>
      <c r="E56" s="181"/>
      <c r="F56" s="180"/>
      <c r="G56" s="180"/>
      <c r="H56" s="180"/>
      <c r="I56" s="181"/>
      <c r="J56" s="342"/>
      <c r="K56" s="180"/>
      <c r="L56" s="180"/>
      <c r="M56" s="679"/>
      <c r="N56" s="675"/>
      <c r="O56" s="674"/>
      <c r="P56" s="674"/>
      <c r="Q56" s="676"/>
    </row>
    <row r="57" spans="1:17" ht="15.75" thickBot="1">
      <c r="A57" s="282" t="s">
        <v>275</v>
      </c>
      <c r="B57" s="126">
        <f aca="true" t="shared" si="23" ref="B57:I57">B47+B50+B53</f>
        <v>170042</v>
      </c>
      <c r="C57" s="126">
        <f t="shared" si="23"/>
        <v>0</v>
      </c>
      <c r="D57" s="126">
        <f t="shared" si="23"/>
        <v>170042</v>
      </c>
      <c r="E57" s="127">
        <f t="shared" si="23"/>
        <v>0</v>
      </c>
      <c r="F57" s="126">
        <f t="shared" si="23"/>
        <v>170042</v>
      </c>
      <c r="G57" s="126">
        <f t="shared" si="23"/>
        <v>0</v>
      </c>
      <c r="H57" s="126">
        <f t="shared" si="23"/>
        <v>170042</v>
      </c>
      <c r="I57" s="127">
        <f t="shared" si="23"/>
        <v>0</v>
      </c>
      <c r="J57" s="282">
        <f>SUM(J47,J50,J53)</f>
        <v>8906</v>
      </c>
      <c r="K57" s="126">
        <f>SUM(K47,K50,K53)</f>
        <v>0</v>
      </c>
      <c r="L57" s="126">
        <f>SUM(L47,L50,L53)</f>
        <v>8906</v>
      </c>
      <c r="M57" s="673">
        <f>SUM(M47,M50,M53)</f>
        <v>0</v>
      </c>
      <c r="N57" s="282">
        <v>0</v>
      </c>
      <c r="O57" s="126">
        <f>K57</f>
        <v>0</v>
      </c>
      <c r="P57" s="126">
        <v>0</v>
      </c>
      <c r="Q57" s="127">
        <f>M57</f>
        <v>0</v>
      </c>
    </row>
    <row r="58" spans="1:5" ht="15">
      <c r="A58" s="178"/>
      <c r="B58" s="179"/>
      <c r="C58" s="179"/>
      <c r="D58" s="179"/>
      <c r="E58" s="179"/>
    </row>
    <row r="59" spans="1:17" ht="15">
      <c r="A59" s="540" t="s">
        <v>607</v>
      </c>
      <c r="B59" s="541"/>
      <c r="C59" s="541"/>
      <c r="D59" s="541">
        <f>SUM(D37,D57)</f>
        <v>650000</v>
      </c>
      <c r="E59" s="541">
        <f>SUM(E37,E57)</f>
        <v>59262</v>
      </c>
      <c r="F59" s="541"/>
      <c r="G59" s="541"/>
      <c r="H59" s="541">
        <f>SUM(H37,H57)</f>
        <v>650000</v>
      </c>
      <c r="I59" s="541">
        <f>SUM(I37,I57)</f>
        <v>59262</v>
      </c>
      <c r="J59" s="541"/>
      <c r="K59" s="541"/>
      <c r="L59" s="541">
        <f>SUM(L37,L57)</f>
        <v>650000</v>
      </c>
      <c r="M59" s="541">
        <f>SUM(M37,M57)</f>
        <v>59262</v>
      </c>
      <c r="N59" s="541"/>
      <c r="O59" s="541"/>
      <c r="P59" s="541">
        <f>SUM(P37,P57)</f>
        <v>641094</v>
      </c>
      <c r="Q59" s="541">
        <f>SUM(Q37,Q57)</f>
        <v>59262</v>
      </c>
    </row>
    <row r="60" spans="2:5" ht="15">
      <c r="B60" s="533"/>
      <c r="C60" s="533"/>
      <c r="D60" s="533"/>
      <c r="E60" s="533"/>
    </row>
    <row r="65" spans="2:5" ht="15">
      <c r="B65" s="533"/>
      <c r="C65" s="533"/>
      <c r="D65" s="533"/>
      <c r="E65" s="533"/>
    </row>
    <row r="66" spans="2:5" ht="15">
      <c r="B66" s="533"/>
      <c r="C66" s="533"/>
      <c r="D66" s="533"/>
      <c r="E66" s="533"/>
    </row>
    <row r="67" spans="2:5" ht="15">
      <c r="B67" s="533"/>
      <c r="C67" s="533"/>
      <c r="D67" s="533"/>
      <c r="E67" s="533"/>
    </row>
    <row r="68" spans="2:5" ht="15">
      <c r="B68" s="533"/>
      <c r="C68" s="533"/>
      <c r="D68" s="533"/>
      <c r="E68" s="533"/>
    </row>
    <row r="69" spans="2:5" ht="15">
      <c r="B69" s="533"/>
      <c r="C69" s="533"/>
      <c r="D69" s="533"/>
      <c r="E69" s="533"/>
    </row>
    <row r="70" spans="2:5" ht="15">
      <c r="B70" s="533"/>
      <c r="C70" s="533"/>
      <c r="D70" s="533"/>
      <c r="E70" s="533"/>
    </row>
    <row r="71" spans="2:5" ht="15">
      <c r="B71" s="533"/>
      <c r="C71" s="533"/>
      <c r="D71" s="533"/>
      <c r="E71" s="533"/>
    </row>
    <row r="72" spans="2:5" ht="15">
      <c r="B72" s="533"/>
      <c r="C72" s="533"/>
      <c r="D72" s="533"/>
      <c r="E72" s="533"/>
    </row>
    <row r="73" spans="2:5" ht="15">
      <c r="B73" s="533"/>
      <c r="C73" s="533"/>
      <c r="D73" s="533"/>
      <c r="E73" s="533"/>
    </row>
    <row r="74" spans="2:5" ht="15">
      <c r="B74" s="533"/>
      <c r="C74" s="533"/>
      <c r="D74" s="533"/>
      <c r="E74" s="533"/>
    </row>
    <row r="75" spans="2:5" ht="15">
      <c r="B75" s="533"/>
      <c r="C75" s="533"/>
      <c r="D75" s="533"/>
      <c r="E75" s="533"/>
    </row>
    <row r="76" spans="2:5" ht="15">
      <c r="B76" s="533"/>
      <c r="C76" s="533"/>
      <c r="D76" s="533"/>
      <c r="E76" s="533"/>
    </row>
  </sheetData>
  <sheetProtection/>
  <mergeCells count="30">
    <mergeCell ref="B6:B7"/>
    <mergeCell ref="C6:E6"/>
    <mergeCell ref="C44:E44"/>
    <mergeCell ref="J5:M5"/>
    <mergeCell ref="J6:J7"/>
    <mergeCell ref="G44:I44"/>
    <mergeCell ref="F44:F45"/>
    <mergeCell ref="F43:I43"/>
    <mergeCell ref="F6:F7"/>
    <mergeCell ref="G6:I6"/>
    <mergeCell ref="N44:N45"/>
    <mergeCell ref="O44:Q44"/>
    <mergeCell ref="A39:Q39"/>
    <mergeCell ref="A41:Q41"/>
    <mergeCell ref="K6:M6"/>
    <mergeCell ref="J43:M43"/>
    <mergeCell ref="J44:J45"/>
    <mergeCell ref="K44:M44"/>
    <mergeCell ref="A5:A7"/>
    <mergeCell ref="F5:I5"/>
    <mergeCell ref="A3:Q3"/>
    <mergeCell ref="A1:Q1"/>
    <mergeCell ref="N5:Q5"/>
    <mergeCell ref="N6:N7"/>
    <mergeCell ref="O6:Q6"/>
    <mergeCell ref="N43:Q43"/>
    <mergeCell ref="B5:E5"/>
    <mergeCell ref="B43:E43"/>
    <mergeCell ref="A43:A45"/>
    <mergeCell ref="B44:B4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  <headerFooter alignWithMargins="0">
    <oddHeader>&amp;L16. melléklet a 28/2015.(XII.18.)  önkormányzati rendelethez
16. melléklet az 1/2015.(I.30.) önkormányzati rendelethez</oddHeader>
  </headerFooter>
  <rowBreaks count="1" manualBreakCount="1">
    <brk id="39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view="pageBreakPreview" zoomScale="89" zoomScaleSheetLayoutView="89" workbookViewId="0" topLeftCell="A1">
      <selection activeCell="K11" sqref="K11"/>
    </sheetView>
  </sheetViews>
  <sheetFormatPr defaultColWidth="9.00390625" defaultRowHeight="12.75"/>
  <cols>
    <col min="1" max="1" width="10.00390625" style="283" customWidth="1"/>
    <col min="2" max="2" width="95.375" style="284" customWidth="1"/>
    <col min="3" max="3" width="9.125" style="283" hidden="1" customWidth="1"/>
    <col min="4" max="4" width="9.125" style="285" hidden="1" customWidth="1"/>
    <col min="5" max="5" width="9.125" style="286" hidden="1" customWidth="1"/>
    <col min="6" max="6" width="9.125" style="287" hidden="1" customWidth="1"/>
    <col min="7" max="7" width="16.375" style="283" hidden="1" customWidth="1"/>
    <col min="8" max="8" width="7.625" style="285" hidden="1" customWidth="1"/>
    <col min="9" max="9" width="18.875" style="286" hidden="1" customWidth="1"/>
    <col min="10" max="10" width="16.125" style="287" hidden="1" customWidth="1"/>
    <col min="11" max="11" width="13.00390625" style="283" customWidth="1"/>
    <col min="12" max="12" width="13.00390625" style="283" hidden="1" customWidth="1"/>
    <col min="13" max="13" width="12.00390625" style="283" customWidth="1"/>
    <col min="14" max="14" width="12.75390625" style="283" customWidth="1"/>
    <col min="15" max="16384" width="9.125" style="283" customWidth="1"/>
  </cols>
  <sheetData>
    <row r="1" spans="1:14" ht="15.75">
      <c r="A1" s="1317" t="s">
        <v>883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</row>
    <row r="2" spans="1:14" ht="15.75">
      <c r="A2" s="1317" t="s">
        <v>884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</row>
    <row r="3" spans="1:14" ht="16.5" thickBot="1">
      <c r="A3"/>
      <c r="B3" s="792"/>
      <c r="C3" s="791"/>
      <c r="D3" s="793"/>
      <c r="E3" s="794"/>
      <c r="F3" s="795"/>
      <c r="G3" s="791"/>
      <c r="H3" s="793"/>
      <c r="I3" s="794"/>
      <c r="J3" s="795"/>
      <c r="K3" s="796"/>
      <c r="L3" s="796"/>
      <c r="M3" s="796"/>
      <c r="N3" s="796"/>
    </row>
    <row r="4" spans="1:14" ht="17.25" thickBot="1" thickTop="1">
      <c r="A4" s="1318" t="s">
        <v>885</v>
      </c>
      <c r="B4" s="1319" t="s">
        <v>886</v>
      </c>
      <c r="C4" s="1320" t="s">
        <v>887</v>
      </c>
      <c r="D4" s="1320"/>
      <c r="E4" s="1320"/>
      <c r="F4" s="1320"/>
      <c r="G4" s="1321" t="s">
        <v>888</v>
      </c>
      <c r="H4" s="1321"/>
      <c r="I4" s="1321"/>
      <c r="J4" s="1321"/>
      <c r="K4" s="1321"/>
      <c r="L4" s="1321"/>
      <c r="M4" s="1321"/>
      <c r="N4" s="797"/>
    </row>
    <row r="5" spans="1:14" ht="77.25" thickBot="1" thickTop="1">
      <c r="A5" s="1318"/>
      <c r="B5" s="1319"/>
      <c r="C5" s="1322" t="s">
        <v>889</v>
      </c>
      <c r="D5" s="1322"/>
      <c r="E5" s="798" t="s">
        <v>890</v>
      </c>
      <c r="F5" s="799" t="s">
        <v>891</v>
      </c>
      <c r="G5" s="1323" t="s">
        <v>889</v>
      </c>
      <c r="H5" s="1323"/>
      <c r="I5" s="800" t="s">
        <v>890</v>
      </c>
      <c r="J5" s="801" t="s">
        <v>892</v>
      </c>
      <c r="K5" s="802" t="s">
        <v>893</v>
      </c>
      <c r="L5" s="802" t="s">
        <v>894</v>
      </c>
      <c r="M5" s="803" t="s">
        <v>895</v>
      </c>
      <c r="N5" s="803" t="s">
        <v>896</v>
      </c>
    </row>
    <row r="6" spans="1:14" ht="16.5" thickTop="1">
      <c r="A6" s="804" t="s">
        <v>897</v>
      </c>
      <c r="B6" s="805" t="s">
        <v>898</v>
      </c>
      <c r="C6" s="806"/>
      <c r="D6" s="807"/>
      <c r="E6" s="808"/>
      <c r="F6" s="806"/>
      <c r="G6" s="806"/>
      <c r="H6" s="807"/>
      <c r="I6" s="808"/>
      <c r="J6" s="809"/>
      <c r="K6" s="810"/>
      <c r="L6" s="811"/>
      <c r="M6" s="812"/>
      <c r="N6" s="812"/>
    </row>
    <row r="7" spans="1:14" ht="15.75">
      <c r="A7" s="813" t="s">
        <v>899</v>
      </c>
      <c r="B7" s="814" t="s">
        <v>900</v>
      </c>
      <c r="C7" s="815">
        <v>58.77</v>
      </c>
      <c r="D7" s="816" t="s">
        <v>901</v>
      </c>
      <c r="E7" s="817">
        <v>4580000</v>
      </c>
      <c r="F7" s="818">
        <f>C7*E7</f>
        <v>269166600</v>
      </c>
      <c r="G7" s="815">
        <v>58.59</v>
      </c>
      <c r="H7" s="816" t="s">
        <v>901</v>
      </c>
      <c r="I7" s="817">
        <v>4580000</v>
      </c>
      <c r="J7" s="818">
        <f>G7*I7</f>
        <v>268342200.00000003</v>
      </c>
      <c r="K7" s="819">
        <v>268342</v>
      </c>
      <c r="L7" s="820">
        <v>268342</v>
      </c>
      <c r="M7" s="821">
        <v>268342</v>
      </c>
      <c r="N7" s="821">
        <v>268342</v>
      </c>
    </row>
    <row r="8" spans="1:14" ht="15.75">
      <c r="A8" s="822" t="s">
        <v>902</v>
      </c>
      <c r="B8" s="823" t="s">
        <v>903</v>
      </c>
      <c r="C8" s="824"/>
      <c r="D8" s="825"/>
      <c r="E8" s="826"/>
      <c r="F8" s="827"/>
      <c r="G8" s="824"/>
      <c r="H8" s="825"/>
      <c r="I8" s="828"/>
      <c r="J8" s="829"/>
      <c r="K8" s="827"/>
      <c r="L8" s="830"/>
      <c r="M8" s="831"/>
      <c r="N8" s="831"/>
    </row>
    <row r="9" spans="1:14" ht="15.75">
      <c r="A9" s="832" t="s">
        <v>904</v>
      </c>
      <c r="B9" s="833" t="s">
        <v>905</v>
      </c>
      <c r="C9" s="834">
        <v>1698.6</v>
      </c>
      <c r="D9" s="825" t="s">
        <v>906</v>
      </c>
      <c r="E9" s="826">
        <v>22300</v>
      </c>
      <c r="F9" s="835">
        <f>C9*E9</f>
        <v>37878780</v>
      </c>
      <c r="G9" s="834">
        <v>1697.7</v>
      </c>
      <c r="H9" s="825" t="s">
        <v>906</v>
      </c>
      <c r="I9" s="828">
        <v>22300</v>
      </c>
      <c r="J9" s="836">
        <v>37859535</v>
      </c>
      <c r="K9" s="835">
        <v>37859</v>
      </c>
      <c r="L9" s="837">
        <v>37859</v>
      </c>
      <c r="M9" s="838">
        <v>37859</v>
      </c>
      <c r="N9" s="838">
        <v>37859</v>
      </c>
    </row>
    <row r="10" spans="1:14" ht="15.75">
      <c r="A10" s="832" t="s">
        <v>907</v>
      </c>
      <c r="B10" s="839" t="s">
        <v>908</v>
      </c>
      <c r="C10" s="840"/>
      <c r="D10" s="841" t="s">
        <v>909</v>
      </c>
      <c r="E10" s="842"/>
      <c r="F10" s="835">
        <v>76483200</v>
      </c>
      <c r="G10" s="840">
        <v>206.4</v>
      </c>
      <c r="H10" s="841" t="s">
        <v>910</v>
      </c>
      <c r="I10" s="843">
        <v>400000</v>
      </c>
      <c r="J10" s="836">
        <v>82560000</v>
      </c>
      <c r="K10" s="835">
        <v>82560</v>
      </c>
      <c r="L10" s="837">
        <v>82560</v>
      </c>
      <c r="M10" s="838">
        <v>82560</v>
      </c>
      <c r="N10" s="838">
        <v>82560</v>
      </c>
    </row>
    <row r="11" spans="1:14" ht="15.75">
      <c r="A11" s="832" t="s">
        <v>911</v>
      </c>
      <c r="B11" s="833" t="s">
        <v>912</v>
      </c>
      <c r="C11" s="844"/>
      <c r="D11" s="841" t="s">
        <v>909</v>
      </c>
      <c r="E11" s="845"/>
      <c r="F11" s="835">
        <v>13458016</v>
      </c>
      <c r="G11" s="846">
        <v>129404</v>
      </c>
      <c r="H11" s="841" t="s">
        <v>913</v>
      </c>
      <c r="I11" s="828" t="s">
        <v>914</v>
      </c>
      <c r="J11" s="836">
        <v>13458016</v>
      </c>
      <c r="K11" s="835">
        <v>13458</v>
      </c>
      <c r="L11" s="837">
        <v>13458</v>
      </c>
      <c r="M11" s="838">
        <v>13458</v>
      </c>
      <c r="N11" s="838">
        <v>13458</v>
      </c>
    </row>
    <row r="12" spans="1:14" ht="15.75">
      <c r="A12" s="832" t="s">
        <v>915</v>
      </c>
      <c r="B12" s="833" t="s">
        <v>916</v>
      </c>
      <c r="C12" s="844"/>
      <c r="D12" s="841" t="s">
        <v>909</v>
      </c>
      <c r="E12" s="826"/>
      <c r="F12" s="835">
        <v>30149000</v>
      </c>
      <c r="G12" s="847">
        <v>102.31</v>
      </c>
      <c r="H12" s="841" t="s">
        <v>910</v>
      </c>
      <c r="I12" s="828" t="s">
        <v>917</v>
      </c>
      <c r="J12" s="836">
        <v>30181450</v>
      </c>
      <c r="K12" s="835">
        <v>30181</v>
      </c>
      <c r="L12" s="837">
        <v>30181</v>
      </c>
      <c r="M12" s="838">
        <v>30181</v>
      </c>
      <c r="N12" s="838">
        <v>30181</v>
      </c>
    </row>
    <row r="13" spans="1:14" ht="15.75">
      <c r="A13" s="848" t="s">
        <v>902</v>
      </c>
      <c r="B13" s="849" t="s">
        <v>918</v>
      </c>
      <c r="C13" s="846"/>
      <c r="D13" s="841"/>
      <c r="E13" s="850"/>
      <c r="F13" s="819">
        <f>SUM(F9:F12)</f>
        <v>157968996</v>
      </c>
      <c r="G13" s="846"/>
      <c r="H13" s="841"/>
      <c r="I13" s="851"/>
      <c r="J13" s="852">
        <f>SUM(J9:J12)</f>
        <v>164059001</v>
      </c>
      <c r="K13" s="819">
        <f>SUM(K9:K12)</f>
        <v>164058</v>
      </c>
      <c r="L13" s="819">
        <f>SUM(L9:L12)</f>
        <v>164058</v>
      </c>
      <c r="M13" s="853">
        <f>SUM(M9:M12)</f>
        <v>164058</v>
      </c>
      <c r="N13" s="853">
        <f>SUM(N9:N12)</f>
        <v>164058</v>
      </c>
    </row>
    <row r="14" spans="1:14" ht="15.75">
      <c r="A14" s="848" t="s">
        <v>919</v>
      </c>
      <c r="B14" s="849" t="s">
        <v>920</v>
      </c>
      <c r="C14" s="826">
        <v>23733</v>
      </c>
      <c r="D14" s="825" t="s">
        <v>901</v>
      </c>
      <c r="E14" s="826">
        <v>2700</v>
      </c>
      <c r="F14" s="819">
        <f>C14*E14</f>
        <v>64079100</v>
      </c>
      <c r="G14" s="826">
        <v>23630</v>
      </c>
      <c r="H14" s="825" t="s">
        <v>901</v>
      </c>
      <c r="I14" s="828">
        <v>2700</v>
      </c>
      <c r="J14" s="852">
        <f>G14*I14</f>
        <v>63801000</v>
      </c>
      <c r="K14" s="819">
        <v>63801</v>
      </c>
      <c r="L14" s="820">
        <v>63801</v>
      </c>
      <c r="M14" s="821">
        <v>63801</v>
      </c>
      <c r="N14" s="821">
        <v>63801</v>
      </c>
    </row>
    <row r="15" spans="1:14" ht="15.75">
      <c r="A15" s="848" t="s">
        <v>921</v>
      </c>
      <c r="B15" s="849" t="s">
        <v>922</v>
      </c>
      <c r="C15" s="826"/>
      <c r="D15" s="825"/>
      <c r="E15" s="826"/>
      <c r="F15" s="819"/>
      <c r="G15" s="826">
        <v>703</v>
      </c>
      <c r="H15" s="825" t="s">
        <v>901</v>
      </c>
      <c r="I15" s="854" t="s">
        <v>923</v>
      </c>
      <c r="J15" s="852">
        <v>1792650</v>
      </c>
      <c r="K15" s="819">
        <v>1793</v>
      </c>
      <c r="L15" s="820">
        <v>1793</v>
      </c>
      <c r="M15" s="821">
        <v>1793</v>
      </c>
      <c r="N15" s="821">
        <v>1793</v>
      </c>
    </row>
    <row r="16" spans="1:14" ht="25.5">
      <c r="A16" s="848" t="s">
        <v>924</v>
      </c>
      <c r="B16" s="849" t="s">
        <v>925</v>
      </c>
      <c r="C16" s="826"/>
      <c r="D16" s="825"/>
      <c r="E16" s="826"/>
      <c r="F16" s="819"/>
      <c r="G16" s="826">
        <v>27053549</v>
      </c>
      <c r="H16" s="825" t="s">
        <v>926</v>
      </c>
      <c r="I16" s="854" t="s">
        <v>927</v>
      </c>
      <c r="J16" s="852">
        <v>41933700</v>
      </c>
      <c r="K16" s="819">
        <v>41934</v>
      </c>
      <c r="L16" s="820">
        <v>41934</v>
      </c>
      <c r="M16" s="821">
        <v>41934</v>
      </c>
      <c r="N16" s="821">
        <v>41934</v>
      </c>
    </row>
    <row r="17" spans="1:14" ht="15.75">
      <c r="A17" s="855" t="s">
        <v>928</v>
      </c>
      <c r="B17" s="856" t="s">
        <v>929</v>
      </c>
      <c r="C17" s="857"/>
      <c r="D17" s="858"/>
      <c r="E17" s="859"/>
      <c r="F17" s="860">
        <f>F7+F13+F14</f>
        <v>491214696</v>
      </c>
      <c r="G17" s="857"/>
      <c r="H17" s="858"/>
      <c r="I17" s="861"/>
      <c r="J17" s="862">
        <f>J7+J13+J14+J15+J16</f>
        <v>539928551</v>
      </c>
      <c r="K17" s="860">
        <f>K7+K13+K14+K15+K16</f>
        <v>539928</v>
      </c>
      <c r="L17" s="860">
        <f>L7+L13+L14+L15+L16</f>
        <v>539928</v>
      </c>
      <c r="M17" s="863">
        <f>M7+M13+M14+M15+M16</f>
        <v>539928</v>
      </c>
      <c r="N17" s="863">
        <f>N7+N13+N14+N15+N16</f>
        <v>539928</v>
      </c>
    </row>
    <row r="18" spans="1:14" ht="31.5">
      <c r="A18" s="855" t="s">
        <v>930</v>
      </c>
      <c r="B18" s="856" t="s">
        <v>931</v>
      </c>
      <c r="C18" s="857">
        <v>317</v>
      </c>
      <c r="D18" s="858" t="s">
        <v>932</v>
      </c>
      <c r="E18" s="859" t="s">
        <v>933</v>
      </c>
      <c r="F18" s="860">
        <f>C18*100</f>
        <v>31700</v>
      </c>
      <c r="G18" s="857">
        <v>317</v>
      </c>
      <c r="H18" s="858" t="s">
        <v>932</v>
      </c>
      <c r="I18" s="861" t="s">
        <v>933</v>
      </c>
      <c r="J18" s="862">
        <v>31700</v>
      </c>
      <c r="K18" s="864">
        <v>32</v>
      </c>
      <c r="L18" s="865">
        <v>32</v>
      </c>
      <c r="M18" s="866">
        <v>32</v>
      </c>
      <c r="N18" s="866">
        <v>32</v>
      </c>
    </row>
    <row r="19" spans="1:14" ht="15.75">
      <c r="A19" s="855" t="s">
        <v>934</v>
      </c>
      <c r="B19" s="856" t="s">
        <v>935</v>
      </c>
      <c r="C19" s="857"/>
      <c r="D19" s="858"/>
      <c r="E19" s="859"/>
      <c r="F19" s="860"/>
      <c r="G19" s="857"/>
      <c r="H19" s="858"/>
      <c r="I19" s="861"/>
      <c r="J19" s="862"/>
      <c r="K19" s="867">
        <v>0</v>
      </c>
      <c r="L19" s="868"/>
      <c r="M19" s="869">
        <v>0</v>
      </c>
      <c r="N19" s="869">
        <f>889+946</f>
        <v>1835</v>
      </c>
    </row>
    <row r="20" spans="1:14" ht="15.75">
      <c r="A20" s="855" t="s">
        <v>897</v>
      </c>
      <c r="B20" s="856"/>
      <c r="C20" s="857"/>
      <c r="D20" s="858"/>
      <c r="E20" s="859"/>
      <c r="F20" s="860">
        <f>SUM(F17:F18)</f>
        <v>491246396</v>
      </c>
      <c r="G20" s="857"/>
      <c r="H20" s="858"/>
      <c r="I20" s="861"/>
      <c r="J20" s="870">
        <f>SUM(J17:J18)</f>
        <v>539960251</v>
      </c>
      <c r="K20" s="871">
        <f>SUM(K17:K18)</f>
        <v>539960</v>
      </c>
      <c r="L20" s="862">
        <f>SUM(L17:L18)</f>
        <v>539960</v>
      </c>
      <c r="M20" s="863">
        <f>SUM(M17:M18)</f>
        <v>539960</v>
      </c>
      <c r="N20" s="863">
        <f>SUM(N17:N19)</f>
        <v>541795</v>
      </c>
    </row>
    <row r="21" spans="1:14" ht="15.75">
      <c r="A21" s="848" t="s">
        <v>936</v>
      </c>
      <c r="B21" s="872" t="s">
        <v>937</v>
      </c>
      <c r="C21" s="873"/>
      <c r="D21" s="825"/>
      <c r="E21" s="826"/>
      <c r="F21" s="819"/>
      <c r="G21" s="873"/>
      <c r="H21" s="825"/>
      <c r="I21" s="828"/>
      <c r="J21" s="874"/>
      <c r="K21" s="852"/>
      <c r="L21" s="820"/>
      <c r="M21" s="821"/>
      <c r="N21" s="821"/>
    </row>
    <row r="22" spans="1:14" ht="15.75">
      <c r="A22" s="848"/>
      <c r="B22" s="872" t="s">
        <v>938</v>
      </c>
      <c r="C22" s="875">
        <v>54.1</v>
      </c>
      <c r="D22" s="825" t="s">
        <v>901</v>
      </c>
      <c r="E22" s="826">
        <v>4012000</v>
      </c>
      <c r="F22" s="827">
        <f>C22*E22*8/12</f>
        <v>144699466.66666666</v>
      </c>
      <c r="G22" s="875">
        <v>52.4</v>
      </c>
      <c r="H22" s="825" t="s">
        <v>901</v>
      </c>
      <c r="I22" s="828">
        <v>4152000</v>
      </c>
      <c r="J22" s="876">
        <f>G22*I22/12*8</f>
        <v>145043200</v>
      </c>
      <c r="K22" s="829">
        <v>145043</v>
      </c>
      <c r="L22" s="830">
        <v>145043</v>
      </c>
      <c r="M22" s="831">
        <f>145043+830</f>
        <v>145873</v>
      </c>
      <c r="N22" s="831">
        <f>145043+830</f>
        <v>145873</v>
      </c>
    </row>
    <row r="23" spans="1:14" ht="15.75">
      <c r="A23" s="848"/>
      <c r="B23" s="872" t="s">
        <v>939</v>
      </c>
      <c r="C23" s="875">
        <v>53.5</v>
      </c>
      <c r="D23" s="825" t="s">
        <v>901</v>
      </c>
      <c r="E23" s="826">
        <v>4012000</v>
      </c>
      <c r="F23" s="827">
        <f>C23*E23*4/12</f>
        <v>71547333.33333333</v>
      </c>
      <c r="G23" s="875">
        <v>51.6</v>
      </c>
      <c r="H23" s="825" t="s">
        <v>901</v>
      </c>
      <c r="I23" s="828">
        <v>4152000</v>
      </c>
      <c r="J23" s="876">
        <f>G23*I23/12*4</f>
        <v>71414400</v>
      </c>
      <c r="K23" s="829">
        <v>71415</v>
      </c>
      <c r="L23" s="830">
        <v>71415</v>
      </c>
      <c r="M23" s="831">
        <f>71415+138</f>
        <v>71553</v>
      </c>
      <c r="N23" s="831">
        <f>71415+138</f>
        <v>71553</v>
      </c>
    </row>
    <row r="24" spans="1:14" ht="15.75">
      <c r="A24" s="848"/>
      <c r="B24" s="872" t="s">
        <v>940</v>
      </c>
      <c r="C24" s="875">
        <v>53.5</v>
      </c>
      <c r="D24" s="825" t="s">
        <v>901</v>
      </c>
      <c r="E24" s="826">
        <v>34400</v>
      </c>
      <c r="F24" s="827">
        <f>C24*E24</f>
        <v>1840400</v>
      </c>
      <c r="G24" s="875">
        <v>51.6</v>
      </c>
      <c r="H24" s="825" t="s">
        <v>901</v>
      </c>
      <c r="I24" s="828">
        <v>35000</v>
      </c>
      <c r="J24" s="876">
        <f>G24*I24</f>
        <v>1806000</v>
      </c>
      <c r="K24" s="829">
        <v>1806</v>
      </c>
      <c r="L24" s="830">
        <v>1806</v>
      </c>
      <c r="M24" s="831">
        <f>1806+4</f>
        <v>1810</v>
      </c>
      <c r="N24" s="831">
        <f>1806+4</f>
        <v>1810</v>
      </c>
    </row>
    <row r="25" spans="1:14" ht="15.75">
      <c r="A25" s="848"/>
      <c r="B25" s="872" t="s">
        <v>941</v>
      </c>
      <c r="C25" s="875">
        <v>33</v>
      </c>
      <c r="D25" s="825" t="s">
        <v>901</v>
      </c>
      <c r="E25" s="826">
        <v>1800000</v>
      </c>
      <c r="F25" s="827">
        <f>C25*E25*8/12</f>
        <v>39600000</v>
      </c>
      <c r="G25" s="875">
        <v>34</v>
      </c>
      <c r="H25" s="825" t="s">
        <v>901</v>
      </c>
      <c r="I25" s="828">
        <v>1800000</v>
      </c>
      <c r="J25" s="876">
        <f>G25*I25/12*8</f>
        <v>40800000</v>
      </c>
      <c r="K25" s="829">
        <v>40800</v>
      </c>
      <c r="L25" s="830">
        <v>40800</v>
      </c>
      <c r="M25" s="831">
        <v>40800</v>
      </c>
      <c r="N25" s="831">
        <v>40800</v>
      </c>
    </row>
    <row r="26" spans="1:14" ht="15.75">
      <c r="A26" s="848"/>
      <c r="B26" s="872" t="s">
        <v>942</v>
      </c>
      <c r="C26" s="875">
        <v>33</v>
      </c>
      <c r="D26" s="825" t="s">
        <v>901</v>
      </c>
      <c r="E26" s="826">
        <v>1800000</v>
      </c>
      <c r="F26" s="827">
        <f>C26*E26*4/12</f>
        <v>19800000</v>
      </c>
      <c r="G26" s="875">
        <v>34</v>
      </c>
      <c r="H26" s="825" t="s">
        <v>901</v>
      </c>
      <c r="I26" s="828">
        <v>1800000</v>
      </c>
      <c r="J26" s="876">
        <f>G26*I26/12*4</f>
        <v>20400000</v>
      </c>
      <c r="K26" s="829">
        <v>20400</v>
      </c>
      <c r="L26" s="830">
        <v>20400</v>
      </c>
      <c r="M26" s="831">
        <v>20400</v>
      </c>
      <c r="N26" s="831">
        <v>20400</v>
      </c>
    </row>
    <row r="27" spans="1:14" ht="31.5">
      <c r="A27" s="855" t="s">
        <v>936</v>
      </c>
      <c r="B27" s="877" t="s">
        <v>943</v>
      </c>
      <c r="C27" s="873"/>
      <c r="D27" s="825"/>
      <c r="E27" s="826"/>
      <c r="F27" s="860">
        <f>SUM(F22:F26)</f>
        <v>277487200</v>
      </c>
      <c r="G27" s="873"/>
      <c r="H27" s="825"/>
      <c r="I27" s="828"/>
      <c r="J27" s="870">
        <f>SUM(J22:J26)</f>
        <v>279463600</v>
      </c>
      <c r="K27" s="878">
        <f>SUM(K22:K26)</f>
        <v>279464</v>
      </c>
      <c r="L27" s="862">
        <f>SUM(L22:L26)</f>
        <v>279464</v>
      </c>
      <c r="M27" s="863">
        <f>SUM(M22:M26)</f>
        <v>280436</v>
      </c>
      <c r="N27" s="863">
        <f>SUM(N22:N26)</f>
        <v>280436</v>
      </c>
    </row>
    <row r="28" spans="1:14" ht="15.75">
      <c r="A28" s="848" t="s">
        <v>944</v>
      </c>
      <c r="B28" s="823" t="s">
        <v>945</v>
      </c>
      <c r="C28" s="847"/>
      <c r="D28" s="825"/>
      <c r="E28" s="826"/>
      <c r="F28" s="819"/>
      <c r="G28" s="847"/>
      <c r="H28" s="825"/>
      <c r="I28" s="828"/>
      <c r="J28" s="874"/>
      <c r="K28" s="852"/>
      <c r="L28" s="820"/>
      <c r="M28" s="821"/>
      <c r="N28" s="821"/>
    </row>
    <row r="29" spans="1:14" ht="15.75">
      <c r="A29" s="848"/>
      <c r="B29" s="823" t="s">
        <v>946</v>
      </c>
      <c r="C29" s="847">
        <v>6</v>
      </c>
      <c r="D29" s="825" t="s">
        <v>901</v>
      </c>
      <c r="E29" s="826">
        <v>56000</v>
      </c>
      <c r="F29" s="827">
        <f>C29*E29*8/12</f>
        <v>224000</v>
      </c>
      <c r="G29" s="847">
        <v>4</v>
      </c>
      <c r="H29" s="825" t="s">
        <v>901</v>
      </c>
      <c r="I29" s="828">
        <v>70000</v>
      </c>
      <c r="J29" s="876">
        <f>G29*I29/12*8</f>
        <v>186666.66666666666</v>
      </c>
      <c r="K29" s="829">
        <v>187</v>
      </c>
      <c r="L29" s="830">
        <v>187</v>
      </c>
      <c r="M29" s="831">
        <f>187-47</f>
        <v>140</v>
      </c>
      <c r="N29" s="831">
        <f>187-47</f>
        <v>140</v>
      </c>
    </row>
    <row r="30" spans="1:14" ht="15.75">
      <c r="A30" s="848"/>
      <c r="B30" s="823" t="s">
        <v>947</v>
      </c>
      <c r="C30" s="847">
        <v>586</v>
      </c>
      <c r="D30" s="825"/>
      <c r="E30" s="826">
        <v>56000</v>
      </c>
      <c r="F30" s="827">
        <f>C30*E30*8/12</f>
        <v>21877333.333333332</v>
      </c>
      <c r="G30" s="847">
        <v>575</v>
      </c>
      <c r="H30" s="825" t="s">
        <v>901</v>
      </c>
      <c r="I30" s="828">
        <v>70000</v>
      </c>
      <c r="J30" s="876">
        <f>G30*I30/12*8</f>
        <v>26833333.333333332</v>
      </c>
      <c r="K30" s="829">
        <v>26833</v>
      </c>
      <c r="L30" s="830">
        <v>26833</v>
      </c>
      <c r="M30" s="831">
        <f>26833+140</f>
        <v>26973</v>
      </c>
      <c r="N30" s="831">
        <f>26833+140</f>
        <v>26973</v>
      </c>
    </row>
    <row r="31" spans="1:14" ht="15.75">
      <c r="A31" s="848"/>
      <c r="B31" s="823" t="s">
        <v>948</v>
      </c>
      <c r="C31" s="847">
        <v>589</v>
      </c>
      <c r="D31" s="825" t="s">
        <v>901</v>
      </c>
      <c r="E31" s="826">
        <v>56000</v>
      </c>
      <c r="F31" s="827">
        <f>C31*E31*4/12</f>
        <v>10994666.666666666</v>
      </c>
      <c r="G31" s="847">
        <v>0</v>
      </c>
      <c r="H31" s="825" t="s">
        <v>901</v>
      </c>
      <c r="I31" s="828">
        <v>70000</v>
      </c>
      <c r="J31" s="876">
        <f>G31*I31/12*4</f>
        <v>0</v>
      </c>
      <c r="K31" s="829">
        <v>0</v>
      </c>
      <c r="L31" s="830"/>
      <c r="M31" s="831"/>
      <c r="N31" s="831"/>
    </row>
    <row r="32" spans="1:14" ht="15.75">
      <c r="A32" s="848"/>
      <c r="B32" s="823" t="s">
        <v>949</v>
      </c>
      <c r="C32" s="847"/>
      <c r="D32" s="825"/>
      <c r="E32" s="826"/>
      <c r="F32" s="827"/>
      <c r="G32" s="847">
        <v>568</v>
      </c>
      <c r="H32" s="825" t="s">
        <v>901</v>
      </c>
      <c r="I32" s="828">
        <v>70000</v>
      </c>
      <c r="J32" s="876">
        <f>G32*I32/12*4</f>
        <v>13253333.333333334</v>
      </c>
      <c r="K32" s="829">
        <v>13253</v>
      </c>
      <c r="L32" s="830">
        <v>13253</v>
      </c>
      <c r="M32" s="831">
        <v>13253</v>
      </c>
      <c r="N32" s="831">
        <v>13253</v>
      </c>
    </row>
    <row r="33" spans="1:14" ht="15.75">
      <c r="A33" s="855" t="s">
        <v>944</v>
      </c>
      <c r="B33" s="879" t="s">
        <v>950</v>
      </c>
      <c r="C33" s="847"/>
      <c r="D33" s="825"/>
      <c r="E33" s="826"/>
      <c r="F33" s="860">
        <f>SUM(F29:F31)</f>
        <v>33096000</v>
      </c>
      <c r="G33" s="847"/>
      <c r="H33" s="825"/>
      <c r="I33" s="828"/>
      <c r="J33" s="870">
        <f>SUM(J29:J32)</f>
        <v>40273333.333333336</v>
      </c>
      <c r="K33" s="878">
        <f>SUM(K29:K32)</f>
        <v>40273</v>
      </c>
      <c r="L33" s="862">
        <f>SUM(L29:L32)</f>
        <v>40273</v>
      </c>
      <c r="M33" s="863">
        <f>SUM(M29:M32)</f>
        <v>40366</v>
      </c>
      <c r="N33" s="863">
        <f>SUM(N29:N32)</f>
        <v>40366</v>
      </c>
    </row>
    <row r="34" spans="1:14" ht="15.75">
      <c r="A34" s="855" t="s">
        <v>951</v>
      </c>
      <c r="B34" s="880" t="s">
        <v>952</v>
      </c>
      <c r="C34" s="847"/>
      <c r="D34" s="825"/>
      <c r="E34" s="826"/>
      <c r="F34" s="860"/>
      <c r="G34" s="847"/>
      <c r="H34" s="825"/>
      <c r="I34" s="828"/>
      <c r="J34" s="870"/>
      <c r="K34" s="862"/>
      <c r="L34" s="868"/>
      <c r="M34" s="869"/>
      <c r="N34" s="881">
        <v>2504</v>
      </c>
    </row>
    <row r="35" spans="1:14" ht="15.75">
      <c r="A35" s="848" t="s">
        <v>953</v>
      </c>
      <c r="B35" s="872" t="s">
        <v>954</v>
      </c>
      <c r="C35" s="847"/>
      <c r="D35" s="825"/>
      <c r="E35" s="826"/>
      <c r="F35" s="860"/>
      <c r="G35" s="847"/>
      <c r="H35" s="825"/>
      <c r="I35" s="828"/>
      <c r="J35" s="870"/>
      <c r="K35" s="862"/>
      <c r="L35" s="865"/>
      <c r="M35" s="866"/>
      <c r="N35" s="866"/>
    </row>
    <row r="36" spans="1:14" ht="15.75">
      <c r="A36" s="848"/>
      <c r="B36" s="872" t="s">
        <v>955</v>
      </c>
      <c r="C36" s="847"/>
      <c r="D36" s="825"/>
      <c r="E36" s="826"/>
      <c r="F36" s="860"/>
      <c r="G36" s="847">
        <v>11</v>
      </c>
      <c r="H36" s="825" t="s">
        <v>901</v>
      </c>
      <c r="I36" s="882" t="s">
        <v>956</v>
      </c>
      <c r="J36" s="870">
        <f>G36*352000</f>
        <v>3872000</v>
      </c>
      <c r="K36" s="862">
        <v>3872</v>
      </c>
      <c r="L36" s="865">
        <v>3872</v>
      </c>
      <c r="M36" s="866">
        <v>3872</v>
      </c>
      <c r="N36" s="866">
        <v>3872</v>
      </c>
    </row>
    <row r="37" spans="1:14" ht="15.75">
      <c r="A37" s="855"/>
      <c r="B37" s="872" t="s">
        <v>957</v>
      </c>
      <c r="C37" s="847"/>
      <c r="D37" s="825"/>
      <c r="E37" s="826"/>
      <c r="F37" s="860"/>
      <c r="G37" s="847">
        <v>0</v>
      </c>
      <c r="H37" s="825" t="s">
        <v>958</v>
      </c>
      <c r="I37" s="882" t="s">
        <v>959</v>
      </c>
      <c r="J37" s="876">
        <v>0</v>
      </c>
      <c r="K37" s="829"/>
      <c r="L37" s="830"/>
      <c r="M37" s="831"/>
      <c r="N37" s="831"/>
    </row>
    <row r="38" spans="1:14" ht="15.75">
      <c r="A38" s="855"/>
      <c r="B38" s="872" t="s">
        <v>960</v>
      </c>
      <c r="C38" s="847"/>
      <c r="D38" s="825"/>
      <c r="E38" s="826"/>
      <c r="F38" s="860"/>
      <c r="G38" s="847">
        <v>0</v>
      </c>
      <c r="H38" s="825" t="s">
        <v>958</v>
      </c>
      <c r="I38" s="882" t="s">
        <v>961</v>
      </c>
      <c r="J38" s="876">
        <v>0</v>
      </c>
      <c r="K38" s="829"/>
      <c r="L38" s="830"/>
      <c r="M38" s="831"/>
      <c r="N38" s="831"/>
    </row>
    <row r="39" spans="1:14" ht="15.75">
      <c r="A39" s="855"/>
      <c r="B39" s="872" t="s">
        <v>962</v>
      </c>
      <c r="C39" s="847"/>
      <c r="D39" s="825"/>
      <c r="E39" s="826"/>
      <c r="F39" s="860"/>
      <c r="G39" s="847">
        <v>0</v>
      </c>
      <c r="H39" s="825" t="s">
        <v>958</v>
      </c>
      <c r="I39" s="882" t="s">
        <v>963</v>
      </c>
      <c r="J39" s="876">
        <v>0</v>
      </c>
      <c r="K39" s="829"/>
      <c r="L39" s="830"/>
      <c r="M39" s="831"/>
      <c r="N39" s="831"/>
    </row>
    <row r="40" spans="1:14" ht="15.75">
      <c r="A40" s="855" t="s">
        <v>964</v>
      </c>
      <c r="B40" s="877" t="s">
        <v>965</v>
      </c>
      <c r="C40" s="847"/>
      <c r="D40" s="825"/>
      <c r="E40" s="826"/>
      <c r="F40" s="860">
        <f>F27+F33</f>
        <v>310583200</v>
      </c>
      <c r="G40" s="847"/>
      <c r="H40" s="825"/>
      <c r="I40" s="828"/>
      <c r="J40" s="870">
        <f>J27+J33+J36</f>
        <v>323608933.3333333</v>
      </c>
      <c r="K40" s="878">
        <f>K27+K33+K36</f>
        <v>323609</v>
      </c>
      <c r="L40" s="862">
        <f>L27+L33+L36</f>
        <v>323609</v>
      </c>
      <c r="M40" s="863">
        <f>M27+M33+M36</f>
        <v>324674</v>
      </c>
      <c r="N40" s="863">
        <f>N27+N33+N34+N36</f>
        <v>327178</v>
      </c>
    </row>
    <row r="41" spans="1:14" ht="15.75">
      <c r="A41" s="855" t="s">
        <v>966</v>
      </c>
      <c r="B41" s="877" t="s">
        <v>967</v>
      </c>
      <c r="C41" s="847"/>
      <c r="D41" s="825"/>
      <c r="E41" s="826"/>
      <c r="F41" s="863">
        <v>92850000</v>
      </c>
      <c r="G41" s="847"/>
      <c r="H41" s="825"/>
      <c r="I41" s="828"/>
      <c r="J41" s="870">
        <v>12701000</v>
      </c>
      <c r="K41" s="862">
        <v>12701</v>
      </c>
      <c r="L41" s="865">
        <f>12701+6267</f>
        <v>18968</v>
      </c>
      <c r="M41" s="866">
        <f>12701+6267</f>
        <v>18968</v>
      </c>
      <c r="N41" s="866">
        <f>12701+6267</f>
        <v>18968</v>
      </c>
    </row>
    <row r="42" spans="1:14" ht="15.75">
      <c r="A42" s="822" t="s">
        <v>968</v>
      </c>
      <c r="B42" s="823" t="s">
        <v>969</v>
      </c>
      <c r="C42" s="847"/>
      <c r="D42" s="825"/>
      <c r="E42" s="826"/>
      <c r="F42" s="827"/>
      <c r="G42" s="847"/>
      <c r="H42" s="825"/>
      <c r="I42" s="828"/>
      <c r="J42" s="876"/>
      <c r="K42" s="829"/>
      <c r="L42" s="830"/>
      <c r="M42" s="831"/>
      <c r="N42" s="831"/>
    </row>
    <row r="43" spans="1:14" ht="15.75">
      <c r="A43" s="822" t="s">
        <v>970</v>
      </c>
      <c r="B43" s="823" t="s">
        <v>971</v>
      </c>
      <c r="C43" s="883">
        <v>7.831</v>
      </c>
      <c r="D43" s="825" t="s">
        <v>901</v>
      </c>
      <c r="E43" s="826">
        <v>3950000</v>
      </c>
      <c r="F43" s="827">
        <f>C43*3950000</f>
        <v>30932450</v>
      </c>
      <c r="G43" s="884">
        <v>7.8076</v>
      </c>
      <c r="H43" s="825" t="s">
        <v>972</v>
      </c>
      <c r="I43" s="828">
        <v>3950000</v>
      </c>
      <c r="J43" s="876">
        <f>G43*I43</f>
        <v>30840020</v>
      </c>
      <c r="K43" s="829">
        <v>30840</v>
      </c>
      <c r="L43" s="830">
        <v>30840</v>
      </c>
      <c r="M43" s="831">
        <v>30840</v>
      </c>
      <c r="N43" s="831">
        <v>30840</v>
      </c>
    </row>
    <row r="44" spans="1:14" ht="15.75">
      <c r="A44" s="822" t="s">
        <v>973</v>
      </c>
      <c r="B44" s="879" t="s">
        <v>974</v>
      </c>
      <c r="C44" s="826">
        <v>39155</v>
      </c>
      <c r="D44" s="825" t="s">
        <v>901</v>
      </c>
      <c r="E44" s="826">
        <v>300</v>
      </c>
      <c r="F44" s="827">
        <f>C44*E44</f>
        <v>11746500</v>
      </c>
      <c r="G44" s="826">
        <v>39038</v>
      </c>
      <c r="H44" s="825" t="s">
        <v>901</v>
      </c>
      <c r="I44" s="828">
        <v>300</v>
      </c>
      <c r="J44" s="876">
        <f>G44*I44</f>
        <v>11711400</v>
      </c>
      <c r="K44" s="829">
        <v>11711</v>
      </c>
      <c r="L44" s="830">
        <v>11711</v>
      </c>
      <c r="M44" s="831">
        <v>11711</v>
      </c>
      <c r="N44" s="831">
        <v>11711</v>
      </c>
    </row>
    <row r="45" spans="1:14" ht="15.75">
      <c r="A45" s="822" t="s">
        <v>973</v>
      </c>
      <c r="B45" s="879" t="s">
        <v>975</v>
      </c>
      <c r="C45" s="826">
        <v>6599</v>
      </c>
      <c r="D45" s="825" t="s">
        <v>901</v>
      </c>
      <c r="E45" s="826">
        <v>1200</v>
      </c>
      <c r="F45" s="827">
        <f>C45*E45</f>
        <v>7918800</v>
      </c>
      <c r="G45" s="826">
        <v>6564</v>
      </c>
      <c r="H45" s="825" t="s">
        <v>901</v>
      </c>
      <c r="I45" s="828">
        <v>1200</v>
      </c>
      <c r="J45" s="876">
        <f>G45*I45</f>
        <v>7876800</v>
      </c>
      <c r="K45" s="829">
        <v>7877</v>
      </c>
      <c r="L45" s="830">
        <v>7877</v>
      </c>
      <c r="M45" s="831">
        <v>7877</v>
      </c>
      <c r="N45" s="831">
        <v>7877</v>
      </c>
    </row>
    <row r="46" spans="1:14" ht="15.75">
      <c r="A46" s="848" t="s">
        <v>976</v>
      </c>
      <c r="B46" s="823" t="s">
        <v>977</v>
      </c>
      <c r="C46" s="883"/>
      <c r="D46" s="825"/>
      <c r="E46" s="826"/>
      <c r="F46" s="819">
        <f>SUM(F43:F45)</f>
        <v>50597750</v>
      </c>
      <c r="G46" s="883"/>
      <c r="H46" s="825"/>
      <c r="I46" s="828"/>
      <c r="J46" s="874">
        <f>SUM(J43:J45)</f>
        <v>50428220</v>
      </c>
      <c r="K46" s="885">
        <f>SUM(K43:K45)</f>
        <v>50428</v>
      </c>
      <c r="L46" s="852">
        <f>SUM(L43:L45)</f>
        <v>50428</v>
      </c>
      <c r="M46" s="853">
        <f>SUM(M43:M45)</f>
        <v>50428</v>
      </c>
      <c r="N46" s="853">
        <f>SUM(N43:N45)</f>
        <v>50428</v>
      </c>
    </row>
    <row r="47" spans="1:14" ht="15.75">
      <c r="A47" s="848" t="s">
        <v>978</v>
      </c>
      <c r="B47" s="823" t="s">
        <v>979</v>
      </c>
      <c r="C47" s="847">
        <v>80</v>
      </c>
      <c r="D47" s="825" t="s">
        <v>901</v>
      </c>
      <c r="E47" s="826">
        <v>60896</v>
      </c>
      <c r="F47" s="819">
        <f>C47*E47</f>
        <v>4871680</v>
      </c>
      <c r="G47" s="847">
        <v>63</v>
      </c>
      <c r="H47" s="825" t="s">
        <v>901</v>
      </c>
      <c r="I47" s="828">
        <v>55360</v>
      </c>
      <c r="J47" s="874">
        <f>G47*I47*1.1</f>
        <v>3836448.0000000005</v>
      </c>
      <c r="K47" s="852">
        <v>3836</v>
      </c>
      <c r="L47" s="820">
        <v>3836</v>
      </c>
      <c r="M47" s="821">
        <v>3836</v>
      </c>
      <c r="N47" s="821">
        <v>3836</v>
      </c>
    </row>
    <row r="48" spans="1:14" ht="15.75">
      <c r="A48" s="848" t="s">
        <v>980</v>
      </c>
      <c r="B48" s="872" t="s">
        <v>981</v>
      </c>
      <c r="C48" s="847">
        <v>22</v>
      </c>
      <c r="D48" s="825" t="s">
        <v>901</v>
      </c>
      <c r="E48" s="826">
        <v>145000</v>
      </c>
      <c r="F48" s="819">
        <f>C48*(E48*1.3)</f>
        <v>4147000</v>
      </c>
      <c r="G48" s="847">
        <v>20</v>
      </c>
      <c r="H48" s="825" t="s">
        <v>901</v>
      </c>
      <c r="I48" s="828">
        <f>145000</f>
        <v>145000</v>
      </c>
      <c r="J48" s="874">
        <f>G48*I48*1.3</f>
        <v>3770000</v>
      </c>
      <c r="K48" s="852">
        <v>3770</v>
      </c>
      <c r="L48" s="820">
        <v>3770</v>
      </c>
      <c r="M48" s="821">
        <v>3770</v>
      </c>
      <c r="N48" s="821">
        <v>3770</v>
      </c>
    </row>
    <row r="49" spans="1:14" ht="15.75">
      <c r="A49" s="848" t="s">
        <v>982</v>
      </c>
      <c r="B49" s="872" t="s">
        <v>983</v>
      </c>
      <c r="C49" s="847">
        <v>65</v>
      </c>
      <c r="D49" s="825" t="s">
        <v>901</v>
      </c>
      <c r="E49" s="826">
        <v>109000</v>
      </c>
      <c r="F49" s="819">
        <f>C49*(E49*1.5)</f>
        <v>10627500</v>
      </c>
      <c r="G49" s="847">
        <v>65</v>
      </c>
      <c r="H49" s="825" t="s">
        <v>901</v>
      </c>
      <c r="I49" s="828">
        <v>109000</v>
      </c>
      <c r="J49" s="874">
        <f>G49*I49*1.5</f>
        <v>10627500</v>
      </c>
      <c r="K49" s="852">
        <v>10628</v>
      </c>
      <c r="L49" s="820">
        <v>10628</v>
      </c>
      <c r="M49" s="821">
        <v>10628</v>
      </c>
      <c r="N49" s="821">
        <v>10628</v>
      </c>
    </row>
    <row r="50" spans="1:14" ht="31.5">
      <c r="A50" s="848" t="s">
        <v>984</v>
      </c>
      <c r="B50" s="872" t="s">
        <v>985</v>
      </c>
      <c r="C50" s="847">
        <v>25</v>
      </c>
      <c r="D50" s="825" t="s">
        <v>901</v>
      </c>
      <c r="E50" s="826">
        <v>500000</v>
      </c>
      <c r="F50" s="819">
        <f>C50*(E50*1.1)</f>
        <v>13750000</v>
      </c>
      <c r="G50" s="847">
        <v>25</v>
      </c>
      <c r="H50" s="825" t="s">
        <v>901</v>
      </c>
      <c r="I50" s="828">
        <v>500000</v>
      </c>
      <c r="J50" s="874">
        <f>G50*I50*1.1</f>
        <v>13750000.000000002</v>
      </c>
      <c r="K50" s="852">
        <v>13750</v>
      </c>
      <c r="L50" s="820">
        <v>13750</v>
      </c>
      <c r="M50" s="821">
        <v>13750</v>
      </c>
      <c r="N50" s="821">
        <v>13750</v>
      </c>
    </row>
    <row r="51" spans="1:14" ht="15.75">
      <c r="A51" s="848" t="s">
        <v>986</v>
      </c>
      <c r="B51" s="872" t="s">
        <v>987</v>
      </c>
      <c r="C51" s="847">
        <v>33</v>
      </c>
      <c r="D51" s="825" t="s">
        <v>901</v>
      </c>
      <c r="E51" s="826">
        <v>206100</v>
      </c>
      <c r="F51" s="819">
        <f>C51*(E51*1.2)</f>
        <v>8161560</v>
      </c>
      <c r="G51" s="847">
        <v>33</v>
      </c>
      <c r="H51" s="825" t="s">
        <v>901</v>
      </c>
      <c r="I51" s="828">
        <v>206100</v>
      </c>
      <c r="J51" s="874">
        <f>G51*I51*1.2</f>
        <v>8161560</v>
      </c>
      <c r="K51" s="852">
        <v>8162</v>
      </c>
      <c r="L51" s="820">
        <v>8162</v>
      </c>
      <c r="M51" s="821">
        <v>8162</v>
      </c>
      <c r="N51" s="821">
        <v>8162</v>
      </c>
    </row>
    <row r="52" spans="1:14" ht="15.75">
      <c r="A52" s="855" t="s">
        <v>988</v>
      </c>
      <c r="B52" s="879" t="s">
        <v>989</v>
      </c>
      <c r="C52" s="886"/>
      <c r="D52" s="825"/>
      <c r="E52" s="826"/>
      <c r="F52" s="860"/>
      <c r="G52" s="886"/>
      <c r="H52" s="825"/>
      <c r="I52" s="828"/>
      <c r="J52" s="870"/>
      <c r="K52" s="862"/>
      <c r="L52" s="865"/>
      <c r="M52" s="866"/>
      <c r="N52" s="866"/>
    </row>
    <row r="53" spans="1:14" ht="15.75">
      <c r="A53" s="832" t="s">
        <v>990</v>
      </c>
      <c r="B53" s="872" t="s">
        <v>991</v>
      </c>
      <c r="C53" s="847">
        <v>61</v>
      </c>
      <c r="D53" s="825" t="s">
        <v>901</v>
      </c>
      <c r="E53" s="826">
        <v>494100</v>
      </c>
      <c r="F53" s="827">
        <f>C53*E53</f>
        <v>30140100</v>
      </c>
      <c r="G53" s="847">
        <v>65</v>
      </c>
      <c r="H53" s="825" t="s">
        <v>901</v>
      </c>
      <c r="I53" s="828">
        <v>494100</v>
      </c>
      <c r="J53" s="876">
        <f>G53*I53</f>
        <v>32116500</v>
      </c>
      <c r="K53" s="829">
        <v>32116</v>
      </c>
      <c r="L53" s="830">
        <v>32116</v>
      </c>
      <c r="M53" s="831">
        <v>32116</v>
      </c>
      <c r="N53" s="831">
        <v>32116</v>
      </c>
    </row>
    <row r="54" spans="1:14" ht="15.75">
      <c r="A54" s="832" t="s">
        <v>990</v>
      </c>
      <c r="B54" s="872" t="s">
        <v>992</v>
      </c>
      <c r="C54" s="847">
        <v>8</v>
      </c>
      <c r="D54" s="825" t="s">
        <v>901</v>
      </c>
      <c r="E54" s="826">
        <v>518805</v>
      </c>
      <c r="F54" s="827">
        <f>C54*E54</f>
        <v>4150440</v>
      </c>
      <c r="G54" s="847">
        <v>0</v>
      </c>
      <c r="H54" s="825" t="s">
        <v>901</v>
      </c>
      <c r="I54" s="828">
        <v>494100</v>
      </c>
      <c r="J54" s="876">
        <v>0</v>
      </c>
      <c r="K54" s="829"/>
      <c r="L54" s="830"/>
      <c r="M54" s="831"/>
      <c r="N54" s="831"/>
    </row>
    <row r="55" spans="1:14" ht="15.75">
      <c r="A55" s="832" t="s">
        <v>990</v>
      </c>
      <c r="B55" s="872" t="s">
        <v>993</v>
      </c>
      <c r="C55" s="847">
        <v>6</v>
      </c>
      <c r="D55" s="825" t="s">
        <v>901</v>
      </c>
      <c r="E55" s="826">
        <v>543510</v>
      </c>
      <c r="F55" s="827">
        <f>C55*E55</f>
        <v>3261060</v>
      </c>
      <c r="G55" s="847">
        <v>0</v>
      </c>
      <c r="H55" s="825" t="s">
        <v>901</v>
      </c>
      <c r="I55" s="828">
        <v>494100</v>
      </c>
      <c r="J55" s="876">
        <v>0</v>
      </c>
      <c r="K55" s="829"/>
      <c r="L55" s="830"/>
      <c r="M55" s="831"/>
      <c r="N55" s="831"/>
    </row>
    <row r="56" spans="1:14" ht="15.75">
      <c r="A56" s="832" t="s">
        <v>990</v>
      </c>
      <c r="B56" s="823" t="s">
        <v>994</v>
      </c>
      <c r="C56" s="847">
        <v>4</v>
      </c>
      <c r="D56" s="825" t="s">
        <v>901</v>
      </c>
      <c r="E56" s="826">
        <v>741150</v>
      </c>
      <c r="F56" s="827">
        <f>C56*E56</f>
        <v>2964600</v>
      </c>
      <c r="G56" s="847">
        <v>4</v>
      </c>
      <c r="H56" s="825" t="s">
        <v>901</v>
      </c>
      <c r="I56" s="828">
        <v>494100</v>
      </c>
      <c r="J56" s="876">
        <f>G56*I56*1.5</f>
        <v>2964600</v>
      </c>
      <c r="K56" s="829">
        <v>2965</v>
      </c>
      <c r="L56" s="830">
        <v>2965</v>
      </c>
      <c r="M56" s="831">
        <v>2965</v>
      </c>
      <c r="N56" s="831">
        <v>2965</v>
      </c>
    </row>
    <row r="57" spans="1:14" ht="15.75">
      <c r="A57" s="855" t="s">
        <v>988</v>
      </c>
      <c r="B57" s="879" t="s">
        <v>995</v>
      </c>
      <c r="C57" s="847"/>
      <c r="D57" s="825"/>
      <c r="E57" s="826"/>
      <c r="F57" s="860">
        <f>SUM(F53:F56)</f>
        <v>40516200</v>
      </c>
      <c r="G57" s="847"/>
      <c r="H57" s="825"/>
      <c r="I57" s="828"/>
      <c r="J57" s="870">
        <f>SUM(J53:J56)</f>
        <v>35081100</v>
      </c>
      <c r="K57" s="862">
        <f>SUM(K53:K56)</f>
        <v>35081</v>
      </c>
      <c r="L57" s="860">
        <f>SUM(L53:L56)</f>
        <v>35081</v>
      </c>
      <c r="M57" s="863">
        <f>SUM(M53:M56)</f>
        <v>35081</v>
      </c>
      <c r="N57" s="863">
        <f>SUM(N53:N56)</f>
        <v>35081</v>
      </c>
    </row>
    <row r="58" spans="1:14" ht="15.75">
      <c r="A58" s="848" t="s">
        <v>996</v>
      </c>
      <c r="B58" s="872" t="s">
        <v>997</v>
      </c>
      <c r="C58" s="847">
        <v>32</v>
      </c>
      <c r="D58" s="825" t="s">
        <v>998</v>
      </c>
      <c r="E58" s="826">
        <v>468350</v>
      </c>
      <c r="F58" s="819">
        <f>C58*(E58*1.1)</f>
        <v>16485920.000000002</v>
      </c>
      <c r="G58" s="847">
        <v>32</v>
      </c>
      <c r="H58" s="825" t="s">
        <v>998</v>
      </c>
      <c r="I58" s="828">
        <v>468350</v>
      </c>
      <c r="J58" s="874">
        <f>G58*I58*1.1</f>
        <v>16485920.000000002</v>
      </c>
      <c r="K58" s="852">
        <v>16486</v>
      </c>
      <c r="L58" s="820">
        <v>16486</v>
      </c>
      <c r="M58" s="821">
        <v>16486</v>
      </c>
      <c r="N58" s="821">
        <v>16486</v>
      </c>
    </row>
    <row r="59" spans="1:14" ht="15.75">
      <c r="A59" s="855" t="s">
        <v>968</v>
      </c>
      <c r="B59" s="879" t="s">
        <v>999</v>
      </c>
      <c r="C59" s="847"/>
      <c r="D59" s="825"/>
      <c r="E59" s="826"/>
      <c r="F59" s="860">
        <f>F46+F47+F48+F49+F50+F51+F57+F58</f>
        <v>149157610</v>
      </c>
      <c r="G59" s="847"/>
      <c r="H59" s="825"/>
      <c r="I59" s="828"/>
      <c r="J59" s="870">
        <f>J46+J47+J48+J49+J50+J51+J57+J58</f>
        <v>142140748</v>
      </c>
      <c r="K59" s="878">
        <f>K46+K47+K48+K49+K50+K51+K57+K58</f>
        <v>142141</v>
      </c>
      <c r="L59" s="862">
        <f>L46+L47+L48+L49+L50+L51+L57+L58</f>
        <v>142141</v>
      </c>
      <c r="M59" s="863">
        <f>M46+M47+M48+M49+M50+M51+M57+M58</f>
        <v>142141</v>
      </c>
      <c r="N59" s="863">
        <f>N46+N47+N48+N49+N50+N51+N57+N58</f>
        <v>142141</v>
      </c>
    </row>
    <row r="60" spans="1:14" ht="15.75">
      <c r="A60" s="887" t="s">
        <v>1000</v>
      </c>
      <c r="B60" s="888" t="s">
        <v>1001</v>
      </c>
      <c r="C60" s="827">
        <v>42</v>
      </c>
      <c r="D60" s="825" t="s">
        <v>901</v>
      </c>
      <c r="E60" s="826">
        <v>2606040</v>
      </c>
      <c r="F60" s="860">
        <f>C60*E60</f>
        <v>109453680</v>
      </c>
      <c r="G60" s="827">
        <v>42</v>
      </c>
      <c r="H60" s="825" t="s">
        <v>901</v>
      </c>
      <c r="I60" s="828">
        <v>2606040</v>
      </c>
      <c r="J60" s="870">
        <f>G60*I60</f>
        <v>109453680</v>
      </c>
      <c r="K60" s="862">
        <v>109454</v>
      </c>
      <c r="L60" s="865">
        <v>109454</v>
      </c>
      <c r="M60" s="866">
        <v>109454</v>
      </c>
      <c r="N60" s="866">
        <v>109454</v>
      </c>
    </row>
    <row r="61" spans="1:14" ht="15.75">
      <c r="A61" s="887" t="s">
        <v>1000</v>
      </c>
      <c r="B61" s="888" t="s">
        <v>1002</v>
      </c>
      <c r="C61" s="827"/>
      <c r="D61" s="825"/>
      <c r="E61" s="834"/>
      <c r="F61" s="860">
        <v>47306000</v>
      </c>
      <c r="G61" s="889"/>
      <c r="H61" s="825"/>
      <c r="I61" s="890"/>
      <c r="J61" s="870">
        <v>50179000</v>
      </c>
      <c r="K61" s="862">
        <v>50179</v>
      </c>
      <c r="L61" s="865">
        <v>50179</v>
      </c>
      <c r="M61" s="866">
        <v>50179</v>
      </c>
      <c r="N61" s="866">
        <v>50179</v>
      </c>
    </row>
    <row r="62" spans="1:14" ht="15.75">
      <c r="A62" s="855" t="s">
        <v>1003</v>
      </c>
      <c r="B62" s="888" t="s">
        <v>1004</v>
      </c>
      <c r="C62" s="827"/>
      <c r="D62" s="825"/>
      <c r="E62" s="834"/>
      <c r="F62" s="860">
        <f>SUM(F60:F61)</f>
        <v>156759680</v>
      </c>
      <c r="G62" s="827"/>
      <c r="H62" s="825"/>
      <c r="I62" s="890"/>
      <c r="J62" s="870">
        <f>SUM(J60:J61)</f>
        <v>159632680</v>
      </c>
      <c r="K62" s="862">
        <f>SUM(K60:K61)</f>
        <v>159633</v>
      </c>
      <c r="L62" s="860">
        <f>SUM(L60:L61)</f>
        <v>159633</v>
      </c>
      <c r="M62" s="863">
        <f>SUM(M60:M61)</f>
        <v>159633</v>
      </c>
      <c r="N62" s="863">
        <f>SUM(N60:N61)</f>
        <v>159633</v>
      </c>
    </row>
    <row r="63" spans="1:14" ht="15.75">
      <c r="A63" s="848" t="s">
        <v>1005</v>
      </c>
      <c r="B63" s="849" t="s">
        <v>1006</v>
      </c>
      <c r="C63" s="847"/>
      <c r="D63" s="825"/>
      <c r="E63" s="826"/>
      <c r="F63" s="819"/>
      <c r="G63" s="847"/>
      <c r="H63" s="825"/>
      <c r="I63" s="828"/>
      <c r="J63" s="874"/>
      <c r="K63" s="852"/>
      <c r="L63" s="820"/>
      <c r="M63" s="821"/>
      <c r="N63" s="821"/>
    </row>
    <row r="64" spans="1:14" ht="15.75">
      <c r="A64" s="832" t="s">
        <v>1007</v>
      </c>
      <c r="B64" s="872" t="s">
        <v>1008</v>
      </c>
      <c r="C64" s="847">
        <v>43.22</v>
      </c>
      <c r="D64" s="825" t="s">
        <v>1009</v>
      </c>
      <c r="E64" s="826">
        <v>1632000</v>
      </c>
      <c r="F64" s="827">
        <f>C64*E64</f>
        <v>70535040</v>
      </c>
      <c r="G64" s="847">
        <v>37.38</v>
      </c>
      <c r="H64" s="825" t="s">
        <v>1009</v>
      </c>
      <c r="I64" s="828">
        <v>1632000</v>
      </c>
      <c r="J64" s="876">
        <f>G64*I64</f>
        <v>61004160.00000001</v>
      </c>
      <c r="K64" s="829">
        <v>61004</v>
      </c>
      <c r="L64" s="830">
        <v>61004</v>
      </c>
      <c r="M64" s="831">
        <f>61004+2269</f>
        <v>63273</v>
      </c>
      <c r="N64" s="831">
        <f>61004+2269</f>
        <v>63273</v>
      </c>
    </row>
    <row r="65" spans="1:14" ht="15.75">
      <c r="A65" s="832" t="s">
        <v>1010</v>
      </c>
      <c r="B65" s="823" t="s">
        <v>1011</v>
      </c>
      <c r="C65" s="846" t="s">
        <v>1012</v>
      </c>
      <c r="D65" s="825"/>
      <c r="E65" s="826"/>
      <c r="F65" s="827">
        <v>0</v>
      </c>
      <c r="G65" s="846"/>
      <c r="H65" s="825"/>
      <c r="I65" s="828"/>
      <c r="J65" s="876">
        <v>55253191</v>
      </c>
      <c r="K65" s="829">
        <v>55253</v>
      </c>
      <c r="L65" s="830">
        <v>55253</v>
      </c>
      <c r="M65" s="831">
        <f>55253-354</f>
        <v>54899</v>
      </c>
      <c r="N65" s="831">
        <f>55253-354</f>
        <v>54899</v>
      </c>
    </row>
    <row r="66" spans="1:14" ht="15.75">
      <c r="A66" s="855" t="s">
        <v>1005</v>
      </c>
      <c r="B66" s="879" t="s">
        <v>1013</v>
      </c>
      <c r="C66" s="846"/>
      <c r="D66" s="825"/>
      <c r="E66" s="826"/>
      <c r="F66" s="860">
        <f>SUM(F64:F65)</f>
        <v>70535040</v>
      </c>
      <c r="G66" s="846"/>
      <c r="H66" s="825"/>
      <c r="I66" s="828"/>
      <c r="J66" s="870">
        <f>SUM(J64:J65)</f>
        <v>116257351</v>
      </c>
      <c r="K66" s="862">
        <f>SUM(K64:K65)</f>
        <v>116257</v>
      </c>
      <c r="L66" s="860">
        <f>SUM(L64:L65)</f>
        <v>116257</v>
      </c>
      <c r="M66" s="863">
        <f>SUM(M64:M65)</f>
        <v>118172</v>
      </c>
      <c r="N66" s="863">
        <f>SUM(N64:N65)</f>
        <v>118172</v>
      </c>
    </row>
    <row r="67" spans="1:14" ht="15.75">
      <c r="A67" s="891" t="s">
        <v>1014</v>
      </c>
      <c r="B67" s="892" t="s">
        <v>1015</v>
      </c>
      <c r="C67" s="893"/>
      <c r="D67" s="816"/>
      <c r="E67" s="817"/>
      <c r="F67" s="894"/>
      <c r="G67" s="893"/>
      <c r="H67" s="816"/>
      <c r="I67" s="828" t="s">
        <v>1016</v>
      </c>
      <c r="J67" s="895"/>
      <c r="K67" s="896">
        <v>0</v>
      </c>
      <c r="L67" s="865">
        <v>8941</v>
      </c>
      <c r="M67" s="866">
        <f>8941+4918</f>
        <v>13859</v>
      </c>
      <c r="N67" s="866">
        <f>8941+4918+3987</f>
        <v>17846</v>
      </c>
    </row>
    <row r="68" spans="1:14" ht="31.5">
      <c r="A68" s="897" t="s">
        <v>1017</v>
      </c>
      <c r="B68" s="898" t="s">
        <v>1018</v>
      </c>
      <c r="C68" s="899"/>
      <c r="D68" s="816"/>
      <c r="E68" s="817"/>
      <c r="F68" s="894" t="e">
        <f>#N/A</f>
        <v>#N/A</v>
      </c>
      <c r="G68" s="899"/>
      <c r="H68" s="816"/>
      <c r="I68" s="828"/>
      <c r="J68" s="895">
        <f>J41+J59+J62+J66</f>
        <v>430731779</v>
      </c>
      <c r="K68" s="878">
        <f>K41+K59+K62+K66+K67</f>
        <v>430732</v>
      </c>
      <c r="L68" s="896">
        <f>L41+L59+L62+L66+L67</f>
        <v>445940</v>
      </c>
      <c r="M68" s="900">
        <f>M41+M59+M62+M66+M67</f>
        <v>452773</v>
      </c>
      <c r="N68" s="900">
        <f>N41+N59+N62+N66+N67</f>
        <v>456760</v>
      </c>
    </row>
    <row r="69" spans="1:14" ht="15.75">
      <c r="A69" s="855" t="s">
        <v>1019</v>
      </c>
      <c r="B69" s="901" t="s">
        <v>1020</v>
      </c>
      <c r="C69" s="847"/>
      <c r="D69" s="825"/>
      <c r="E69" s="826"/>
      <c r="F69" s="860"/>
      <c r="G69" s="847"/>
      <c r="H69" s="825"/>
      <c r="I69" s="828"/>
      <c r="J69" s="870"/>
      <c r="K69" s="878"/>
      <c r="L69" s="902"/>
      <c r="M69" s="866"/>
      <c r="N69" s="866"/>
    </row>
    <row r="70" spans="1:14" ht="15.75">
      <c r="A70" s="855" t="s">
        <v>1021</v>
      </c>
      <c r="B70" s="903" t="s">
        <v>1022</v>
      </c>
      <c r="C70" s="847"/>
      <c r="D70" s="825"/>
      <c r="E70" s="826"/>
      <c r="F70" s="860"/>
      <c r="G70" s="847"/>
      <c r="H70" s="825"/>
      <c r="I70" s="828"/>
      <c r="J70" s="870"/>
      <c r="K70" s="878"/>
      <c r="L70" s="902"/>
      <c r="M70" s="866"/>
      <c r="N70" s="866"/>
    </row>
    <row r="71" spans="1:14" ht="15.75">
      <c r="A71" s="848" t="s">
        <v>1023</v>
      </c>
      <c r="B71" s="872" t="s">
        <v>1024</v>
      </c>
      <c r="C71" s="847"/>
      <c r="D71" s="825"/>
      <c r="E71" s="826"/>
      <c r="F71" s="819">
        <v>88000000</v>
      </c>
      <c r="G71" s="847"/>
      <c r="H71" s="825"/>
      <c r="I71" s="828"/>
      <c r="J71" s="874">
        <v>97200000</v>
      </c>
      <c r="K71" s="885">
        <v>97200</v>
      </c>
      <c r="L71" s="904">
        <v>97200</v>
      </c>
      <c r="M71" s="821">
        <v>97200</v>
      </c>
      <c r="N71" s="821">
        <v>97200</v>
      </c>
    </row>
    <row r="72" spans="1:14" ht="15.75">
      <c r="A72" s="848" t="s">
        <v>1025</v>
      </c>
      <c r="B72" s="823" t="s">
        <v>1026</v>
      </c>
      <c r="C72" s="826">
        <v>23733</v>
      </c>
      <c r="D72" s="825" t="s">
        <v>901</v>
      </c>
      <c r="E72" s="826">
        <v>1140</v>
      </c>
      <c r="F72" s="819">
        <f>C72*E72</f>
        <v>27055620</v>
      </c>
      <c r="G72" s="826">
        <v>23630</v>
      </c>
      <c r="H72" s="825" t="s">
        <v>901</v>
      </c>
      <c r="I72" s="828">
        <v>1140</v>
      </c>
      <c r="J72" s="874">
        <f>G72*I72</f>
        <v>26938200</v>
      </c>
      <c r="K72" s="885">
        <v>26938</v>
      </c>
      <c r="L72" s="904">
        <v>26938</v>
      </c>
      <c r="M72" s="821">
        <v>26938</v>
      </c>
      <c r="N72" s="821">
        <v>26938</v>
      </c>
    </row>
    <row r="73" spans="1:14" ht="15.75">
      <c r="A73" s="848" t="s">
        <v>1027</v>
      </c>
      <c r="B73" s="823" t="s">
        <v>1028</v>
      </c>
      <c r="C73" s="817"/>
      <c r="D73" s="816"/>
      <c r="E73" s="817"/>
      <c r="F73" s="905"/>
      <c r="G73" s="817"/>
      <c r="H73" s="816"/>
      <c r="I73" s="828"/>
      <c r="J73" s="874"/>
      <c r="K73" s="885"/>
      <c r="L73" s="906"/>
      <c r="M73" s="907"/>
      <c r="N73" s="907">
        <v>2150</v>
      </c>
    </row>
    <row r="74" spans="1:14" ht="31.5">
      <c r="A74" s="887" t="s">
        <v>1029</v>
      </c>
      <c r="B74" s="879" t="s">
        <v>1030</v>
      </c>
      <c r="C74" s="899"/>
      <c r="D74" s="816"/>
      <c r="E74" s="817"/>
      <c r="F74" s="864">
        <f>SUM(F71:F72)</f>
        <v>115055620</v>
      </c>
      <c r="G74" s="899"/>
      <c r="H74" s="816"/>
      <c r="I74" s="828"/>
      <c r="J74" s="870">
        <f>SUM(J71:J72)</f>
        <v>124138200</v>
      </c>
      <c r="K74" s="878">
        <f>SUM(K71:K72)</f>
        <v>124138</v>
      </c>
      <c r="L74" s="862">
        <f>SUM(L71:L72)</f>
        <v>124138</v>
      </c>
      <c r="M74" s="863">
        <f>SUM(M71:M72)</f>
        <v>124138</v>
      </c>
      <c r="N74" s="863">
        <f>SUM(N71:N73)</f>
        <v>126288</v>
      </c>
    </row>
    <row r="75" spans="1:14" ht="15.75">
      <c r="A75" s="908" t="s">
        <v>1031</v>
      </c>
      <c r="B75" s="823" t="s">
        <v>1032</v>
      </c>
      <c r="C75" s="886"/>
      <c r="D75" s="909"/>
      <c r="E75" s="910"/>
      <c r="F75" s="864"/>
      <c r="G75" s="886"/>
      <c r="H75" s="909"/>
      <c r="I75" s="911"/>
      <c r="J75" s="912"/>
      <c r="K75" s="862"/>
      <c r="L75" s="865"/>
      <c r="M75" s="866"/>
      <c r="N75" s="866"/>
    </row>
    <row r="76" spans="1:14" ht="15.75">
      <c r="A76" s="832"/>
      <c r="B76" s="823" t="s">
        <v>1033</v>
      </c>
      <c r="C76" s="846">
        <v>53815280559</v>
      </c>
      <c r="D76" s="841"/>
      <c r="E76" s="913" t="s">
        <v>1034</v>
      </c>
      <c r="F76" s="835">
        <f>C76*E76</f>
        <v>269076402.795</v>
      </c>
      <c r="G76" s="846">
        <v>62880855440</v>
      </c>
      <c r="H76" s="841" t="s">
        <v>926</v>
      </c>
      <c r="I76" s="914" t="s">
        <v>1035</v>
      </c>
      <c r="J76" s="915">
        <f>G76*I76</f>
        <v>345844704.91999996</v>
      </c>
      <c r="K76" s="836">
        <v>345845</v>
      </c>
      <c r="L76" s="837">
        <v>345845</v>
      </c>
      <c r="M76" s="838">
        <v>345845</v>
      </c>
      <c r="N76" s="838">
        <v>345845</v>
      </c>
    </row>
    <row r="77" spans="1:14" ht="31.5">
      <c r="A77" s="832"/>
      <c r="B77" s="916" t="s">
        <v>1036</v>
      </c>
      <c r="C77" s="835">
        <f>F76</f>
        <v>269076402.795</v>
      </c>
      <c r="D77" s="841" t="s">
        <v>1037</v>
      </c>
      <c r="E77" s="913" t="s">
        <v>1038</v>
      </c>
      <c r="F77" s="835">
        <f>C77*E77</f>
        <v>255622582.65525</v>
      </c>
      <c r="G77" s="835">
        <f>J76</f>
        <v>345844704.91999996</v>
      </c>
      <c r="H77" s="917" t="s">
        <v>1039</v>
      </c>
      <c r="I77" s="914" t="s">
        <v>1040</v>
      </c>
      <c r="J77" s="915">
        <f>G77*I77-2</f>
        <v>311260232.428</v>
      </c>
      <c r="K77" s="836">
        <v>311260</v>
      </c>
      <c r="L77" s="837">
        <v>311260</v>
      </c>
      <c r="M77" s="838">
        <v>311260</v>
      </c>
      <c r="N77" s="838">
        <v>311260</v>
      </c>
    </row>
    <row r="78" spans="1:14" ht="31.5">
      <c r="A78" s="855" t="s">
        <v>1041</v>
      </c>
      <c r="B78" s="872" t="s">
        <v>1042</v>
      </c>
      <c r="C78" s="835"/>
      <c r="D78" s="841"/>
      <c r="E78" s="913"/>
      <c r="F78" s="860">
        <f>-F77</f>
        <v>-255622582.65525</v>
      </c>
      <c r="G78" s="835"/>
      <c r="H78" s="841"/>
      <c r="I78" s="914"/>
      <c r="J78" s="870">
        <v>-311260232</v>
      </c>
      <c r="K78" s="862">
        <v>-311260</v>
      </c>
      <c r="L78" s="865">
        <v>-311260</v>
      </c>
      <c r="M78" s="866">
        <v>-311260</v>
      </c>
      <c r="N78" s="866">
        <v>-311260</v>
      </c>
    </row>
    <row r="79" spans="1:14" ht="16.5" thickBot="1">
      <c r="A79" s="918"/>
      <c r="B79" s="919" t="s">
        <v>1043</v>
      </c>
      <c r="C79" s="920"/>
      <c r="D79" s="921"/>
      <c r="E79" s="922"/>
      <c r="F79" s="923" t="e">
        <f>F20+F40+F68+F74+F78</f>
        <v>#N/A</v>
      </c>
      <c r="G79" s="920"/>
      <c r="H79" s="921"/>
      <c r="I79" s="924"/>
      <c r="J79" s="925">
        <f>J20+J40+J68+J74+J78</f>
        <v>1107178931.3333333</v>
      </c>
      <c r="K79" s="926">
        <f>K20+K40+K68+K74+K78</f>
        <v>1107179</v>
      </c>
      <c r="L79" s="927">
        <f>L20+L40+L68+L74+L78</f>
        <v>1122387</v>
      </c>
      <c r="M79" s="928">
        <f>M20+M40+M68+M74+M78</f>
        <v>1130285</v>
      </c>
      <c r="N79" s="928">
        <f>N20+N40+N68+N74+N78</f>
        <v>1140761</v>
      </c>
    </row>
    <row r="80" ht="15.75" thickTop="1"/>
  </sheetData>
  <sheetProtection password="CC05" sheet="1"/>
  <mergeCells count="8">
    <mergeCell ref="A1:N1"/>
    <mergeCell ref="A2:N2"/>
    <mergeCell ref="A4:A5"/>
    <mergeCell ref="B4:B5"/>
    <mergeCell ref="C4:F4"/>
    <mergeCell ref="G4:M4"/>
    <mergeCell ref="C5:D5"/>
    <mergeCell ref="G5:H5"/>
  </mergeCells>
  <printOptions horizontalCentered="1"/>
  <pageMargins left="0.4330708661417323" right="0.3937007874015748" top="0.984251968503937" bottom="0.984251968503937" header="0.5118110236220472" footer="0.5118110236220472"/>
  <pageSetup fitToHeight="0" fitToWidth="1" horizontalDpi="600" verticalDpi="600" orientation="portrait" paperSize="9" scale="66" r:id="rId1"/>
  <headerFooter alignWithMargins="0">
    <oddHeader>&amp;L17. melléklet a 28/2015.(XII.18.)  önkormányzati rendelethez
17. melléklet az 1/2015.(I.30.)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25">
      <selection activeCell="G53" sqref="G53"/>
    </sheetView>
  </sheetViews>
  <sheetFormatPr defaultColWidth="9.00390625" defaultRowHeight="12.75"/>
  <cols>
    <col min="1" max="1" width="56.125" style="584" customWidth="1"/>
    <col min="2" max="2" width="11.25390625" style="107" customWidth="1"/>
    <col min="3" max="3" width="14.125" style="107" customWidth="1"/>
    <col min="4" max="4" width="14.75390625" style="104" customWidth="1"/>
    <col min="5" max="5" width="9.75390625" style="104" customWidth="1"/>
    <col min="6" max="6" width="17.25390625" style="104" customWidth="1"/>
    <col min="7" max="16384" width="9.125" style="104" customWidth="1"/>
  </cols>
  <sheetData>
    <row r="1" spans="1:2" ht="15">
      <c r="A1" s="575"/>
      <c r="B1" s="122"/>
    </row>
    <row r="2" spans="1:4" ht="15">
      <c r="A2" s="1324" t="s">
        <v>236</v>
      </c>
      <c r="B2" s="1324"/>
      <c r="C2" s="1324"/>
      <c r="D2" s="1324"/>
    </row>
    <row r="3" spans="1:2" ht="15.75" thickBot="1">
      <c r="A3" s="575"/>
      <c r="B3" s="122"/>
    </row>
    <row r="4" spans="1:6" ht="15">
      <c r="A4" s="576" t="s">
        <v>629</v>
      </c>
      <c r="B4" s="373" t="s">
        <v>630</v>
      </c>
      <c r="C4" s="585" t="s">
        <v>733</v>
      </c>
      <c r="D4" s="586" t="s">
        <v>799</v>
      </c>
      <c r="E4" s="505"/>
      <c r="F4" s="505"/>
    </row>
    <row r="5" spans="1:4" s="105" customFormat="1" ht="14.25">
      <c r="A5" s="577" t="s">
        <v>147</v>
      </c>
      <c r="B5" s="371">
        <f>SUM(B7,B10,B14)</f>
        <v>193800</v>
      </c>
      <c r="C5" s="506">
        <f>SUM(C7,C10,C14)</f>
        <v>27498</v>
      </c>
      <c r="D5" s="710">
        <f>SUM(D7,D10,D14)</f>
        <v>5000</v>
      </c>
    </row>
    <row r="6" spans="1:4" s="105" customFormat="1" ht="14.25">
      <c r="A6" s="578"/>
      <c r="B6" s="372"/>
      <c r="C6" s="579"/>
      <c r="D6" s="587"/>
    </row>
    <row r="7" spans="1:4" s="106" customFormat="1" ht="14.25">
      <c r="A7" s="577" t="s">
        <v>655</v>
      </c>
      <c r="B7" s="371">
        <f>SUM(B8)</f>
        <v>15000</v>
      </c>
      <c r="C7" s="506">
        <f>SUM(C8)</f>
        <v>6086</v>
      </c>
      <c r="D7" s="710">
        <f>SUM(D8)</f>
        <v>4043</v>
      </c>
    </row>
    <row r="8" spans="1:4" ht="15">
      <c r="A8" s="580" t="s">
        <v>655</v>
      </c>
      <c r="B8" s="184">
        <v>15000</v>
      </c>
      <c r="C8" s="581">
        <v>6086</v>
      </c>
      <c r="D8" s="589">
        <v>4043</v>
      </c>
    </row>
    <row r="9" spans="1:4" ht="15">
      <c r="A9" s="580"/>
      <c r="B9" s="184"/>
      <c r="C9" s="581"/>
      <c r="D9" s="589"/>
    </row>
    <row r="10" spans="1:4" s="106" customFormat="1" ht="14.25">
      <c r="A10" s="577" t="s">
        <v>656</v>
      </c>
      <c r="B10" s="371">
        <f>SUM(B11:B12)</f>
        <v>100000</v>
      </c>
      <c r="C10" s="506">
        <f>SUM(C11:C12)</f>
        <v>7373</v>
      </c>
      <c r="D10" s="710">
        <f>SUM(D11:D12)</f>
        <v>957</v>
      </c>
    </row>
    <row r="11" spans="1:4" ht="15">
      <c r="A11" s="580" t="s">
        <v>656</v>
      </c>
      <c r="B11" s="184">
        <v>100000</v>
      </c>
      <c r="C11" s="581">
        <v>7373</v>
      </c>
      <c r="D11" s="589">
        <v>957</v>
      </c>
    </row>
    <row r="12" spans="1:4" ht="15">
      <c r="A12" s="580"/>
      <c r="B12" s="184"/>
      <c r="C12" s="581"/>
      <c r="D12" s="589"/>
    </row>
    <row r="13" spans="1:4" ht="15">
      <c r="A13" s="580"/>
      <c r="B13" s="184"/>
      <c r="C13" s="581"/>
      <c r="D13" s="589"/>
    </row>
    <row r="14" spans="1:4" ht="15">
      <c r="A14" s="577" t="s">
        <v>657</v>
      </c>
      <c r="B14" s="371">
        <f>SUM(B15:B17)</f>
        <v>78800</v>
      </c>
      <c r="C14" s="506">
        <f>SUM(C15:C17)</f>
        <v>14039</v>
      </c>
      <c r="D14" s="710">
        <f>SUM(D15:D17)</f>
        <v>0</v>
      </c>
    </row>
    <row r="15" spans="1:4" ht="16.5" customHeight="1">
      <c r="A15" s="580" t="s">
        <v>495</v>
      </c>
      <c r="B15" s="184">
        <v>62000</v>
      </c>
      <c r="C15" s="581">
        <v>0</v>
      </c>
      <c r="D15" s="589">
        <v>0</v>
      </c>
    </row>
    <row r="16" spans="1:4" ht="15">
      <c r="A16" s="580" t="s">
        <v>496</v>
      </c>
      <c r="B16" s="184">
        <v>15000</v>
      </c>
      <c r="C16" s="581">
        <v>14039</v>
      </c>
      <c r="D16" s="589">
        <v>0</v>
      </c>
    </row>
    <row r="17" spans="1:4" ht="30.75" customHeight="1">
      <c r="A17" s="580" t="s">
        <v>499</v>
      </c>
      <c r="B17" s="184">
        <v>1800</v>
      </c>
      <c r="C17" s="581">
        <v>0</v>
      </c>
      <c r="D17" s="589">
        <v>0</v>
      </c>
    </row>
    <row r="18" spans="1:4" ht="15">
      <c r="A18" s="580"/>
      <c r="B18" s="184"/>
      <c r="C18" s="581"/>
      <c r="D18" s="589"/>
    </row>
    <row r="19" spans="1:4" s="105" customFormat="1" ht="14.25">
      <c r="A19" s="577" t="s">
        <v>146</v>
      </c>
      <c r="B19" s="371">
        <f>SUM(B21,B25)</f>
        <v>247117</v>
      </c>
      <c r="C19" s="506">
        <f>SUM(C21,C25)</f>
        <v>40380</v>
      </c>
      <c r="D19" s="710">
        <f>SUM(D21,D25)</f>
        <v>0</v>
      </c>
    </row>
    <row r="20" spans="1:4" s="105" customFormat="1" ht="14.25">
      <c r="A20" s="577"/>
      <c r="B20" s="371"/>
      <c r="C20" s="579"/>
      <c r="D20" s="587"/>
    </row>
    <row r="21" spans="1:4" s="106" customFormat="1" ht="14.25">
      <c r="A21" s="577" t="s">
        <v>0</v>
      </c>
      <c r="B21" s="371">
        <f>SUM(B22:B23)</f>
        <v>77075</v>
      </c>
      <c r="C21" s="506">
        <f>SUM(C22:C23)</f>
        <v>31474</v>
      </c>
      <c r="D21" s="710">
        <f>SUM(D22:D23)</f>
        <v>0</v>
      </c>
    </row>
    <row r="22" spans="1:4" ht="15">
      <c r="A22" s="580" t="s">
        <v>0</v>
      </c>
      <c r="B22" s="184">
        <v>50000</v>
      </c>
      <c r="C22" s="581">
        <v>4399</v>
      </c>
      <c r="D22" s="589">
        <v>0</v>
      </c>
    </row>
    <row r="23" spans="1:4" ht="30">
      <c r="A23" s="580" t="s">
        <v>494</v>
      </c>
      <c r="B23" s="184">
        <v>27075</v>
      </c>
      <c r="C23" s="581">
        <v>27075</v>
      </c>
      <c r="D23" s="589">
        <v>0</v>
      </c>
    </row>
    <row r="24" spans="1:4" ht="15">
      <c r="A24" s="580"/>
      <c r="B24" s="184"/>
      <c r="C24" s="581"/>
      <c r="D24" s="589"/>
    </row>
    <row r="25" spans="1:4" s="106" customFormat="1" ht="14.25">
      <c r="A25" s="577" t="s">
        <v>1</v>
      </c>
      <c r="B25" s="371">
        <f>SUM(B30,B27,B34)</f>
        <v>170042</v>
      </c>
      <c r="C25" s="506">
        <f>SUM(C30,C27,C34)</f>
        <v>8906</v>
      </c>
      <c r="D25" s="710">
        <f>SUM(D30,D27,D34)</f>
        <v>0</v>
      </c>
    </row>
    <row r="26" spans="1:4" s="106" customFormat="1" ht="14.25">
      <c r="A26" s="577"/>
      <c r="B26" s="371"/>
      <c r="C26" s="506"/>
      <c r="D26" s="588"/>
    </row>
    <row r="27" spans="1:4" s="123" customFormat="1" ht="15">
      <c r="A27" s="582" t="s">
        <v>603</v>
      </c>
      <c r="B27" s="183">
        <f>SUM(B28:B28)</f>
        <v>147300</v>
      </c>
      <c r="C27" s="507">
        <f>SUM(C28:C28)</f>
        <v>0</v>
      </c>
      <c r="D27" s="711">
        <f>SUM(D28:D28)</f>
        <v>0</v>
      </c>
    </row>
    <row r="28" spans="1:4" ht="15">
      <c r="A28" s="580" t="s">
        <v>52</v>
      </c>
      <c r="B28" s="184">
        <v>147300</v>
      </c>
      <c r="C28" s="581">
        <v>0</v>
      </c>
      <c r="D28" s="589">
        <v>0</v>
      </c>
    </row>
    <row r="29" spans="1:4" ht="15">
      <c r="A29" s="580"/>
      <c r="B29" s="184"/>
      <c r="C29" s="581"/>
      <c r="D29" s="589"/>
    </row>
    <row r="30" spans="1:4" s="123" customFormat="1" ht="15">
      <c r="A30" s="582" t="s">
        <v>131</v>
      </c>
      <c r="B30" s="183">
        <f>SUM(B31:B32)</f>
        <v>16392</v>
      </c>
      <c r="C30" s="507">
        <f>SUM(C31:C32)</f>
        <v>2556</v>
      </c>
      <c r="D30" s="711">
        <f>SUM(D31:D32)</f>
        <v>0</v>
      </c>
    </row>
    <row r="31" spans="1:4" ht="45">
      <c r="A31" s="580" t="s">
        <v>61</v>
      </c>
      <c r="B31" s="184">
        <v>15000</v>
      </c>
      <c r="C31" s="581">
        <v>1164</v>
      </c>
      <c r="D31" s="712">
        <v>0</v>
      </c>
    </row>
    <row r="32" spans="1:4" ht="15">
      <c r="A32" s="580" t="s">
        <v>604</v>
      </c>
      <c r="B32" s="184">
        <v>1392</v>
      </c>
      <c r="C32" s="581">
        <v>1392</v>
      </c>
      <c r="D32" s="589">
        <v>0</v>
      </c>
    </row>
    <row r="33" spans="1:4" ht="15">
      <c r="A33" s="580"/>
      <c r="B33" s="184"/>
      <c r="C33" s="581"/>
      <c r="D33" s="589"/>
    </row>
    <row r="34" spans="1:4" s="123" customFormat="1" ht="15">
      <c r="A34" s="582" t="s">
        <v>601</v>
      </c>
      <c r="B34" s="183">
        <f>SUM(B35:B36)</f>
        <v>6350</v>
      </c>
      <c r="C34" s="507">
        <f>SUM(C35:C36)</f>
        <v>6350</v>
      </c>
      <c r="D34" s="711">
        <f>SUM(D35:D36)</f>
        <v>0</v>
      </c>
    </row>
    <row r="35" spans="1:4" ht="30">
      <c r="A35" s="580" t="s">
        <v>602</v>
      </c>
      <c r="B35" s="184">
        <v>6350</v>
      </c>
      <c r="C35" s="581">
        <v>6350</v>
      </c>
      <c r="D35" s="589">
        <v>0</v>
      </c>
    </row>
    <row r="36" spans="1:4" ht="15">
      <c r="A36" s="580"/>
      <c r="B36" s="184"/>
      <c r="C36" s="581"/>
      <c r="D36" s="589"/>
    </row>
    <row r="37" spans="1:4" ht="15">
      <c r="A37" s="580"/>
      <c r="B37" s="184"/>
      <c r="C37" s="581"/>
      <c r="D37" s="589"/>
    </row>
    <row r="38" spans="1:4" s="106" customFormat="1" ht="15" thickBot="1">
      <c r="A38" s="583" t="s">
        <v>2</v>
      </c>
      <c r="B38" s="374">
        <f>SUM(B5,B19)</f>
        <v>440917</v>
      </c>
      <c r="C38" s="508">
        <f>SUM(C5,C19)</f>
        <v>67878</v>
      </c>
      <c r="D38" s="713">
        <f>SUM(D5,D19)</f>
        <v>5000</v>
      </c>
    </row>
  </sheetData>
  <sheetProtection/>
  <mergeCells count="1">
    <mergeCell ref="A2:D2"/>
  </mergeCells>
  <printOptions horizontalCentered="1"/>
  <pageMargins left="0.4724409448818898" right="0.4724409448818898" top="0.6299212598425197" bottom="0.7874015748031497" header="0.4724409448818898" footer="0.5118110236220472"/>
  <pageSetup fitToWidth="0" horizontalDpi="600" verticalDpi="600" orientation="portrait" paperSize="9" scale="97" r:id="rId1"/>
  <headerFooter alignWithMargins="0">
    <oddHeader>&amp;L18. melléklet a 28/2015.(XII.18.)   önkormányzati rendelethez
19. melléklet az 1/2015.(I.30.)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8"/>
  <sheetViews>
    <sheetView view="pageBreakPreview" zoomScale="75" zoomScaleSheetLayoutView="75" workbookViewId="0" topLeftCell="A37">
      <selection activeCell="D28" sqref="D28"/>
    </sheetView>
  </sheetViews>
  <sheetFormatPr defaultColWidth="9.00390625" defaultRowHeight="12.75"/>
  <cols>
    <col min="1" max="1" width="60.875" style="99" customWidth="1"/>
    <col min="2" max="4" width="14.625" style="40" customWidth="1"/>
    <col min="5" max="5" width="56.00390625" style="99" customWidth="1"/>
    <col min="6" max="6" width="14.625" style="40" customWidth="1"/>
    <col min="7" max="7" width="14.25390625" style="41" customWidth="1"/>
    <col min="8" max="8" width="14.75390625" style="41" customWidth="1"/>
    <col min="9" max="16384" width="9.125" style="41" customWidth="1"/>
  </cols>
  <sheetData>
    <row r="1" spans="1:6" s="39" customFormat="1" ht="15" customHeight="1">
      <c r="A1" s="1147" t="s">
        <v>25</v>
      </c>
      <c r="B1" s="1147"/>
      <c r="C1" s="1147"/>
      <c r="D1" s="1147"/>
      <c r="E1" s="1147"/>
      <c r="F1" s="1147"/>
    </row>
    <row r="2" ht="15.75" thickBot="1"/>
    <row r="3" spans="1:8" ht="15" thickBot="1">
      <c r="A3" s="1148" t="s">
        <v>262</v>
      </c>
      <c r="B3" s="1149"/>
      <c r="C3" s="544"/>
      <c r="D3" s="224"/>
      <c r="E3" s="1150" t="s">
        <v>263</v>
      </c>
      <c r="F3" s="1151"/>
      <c r="G3" s="598"/>
      <c r="H3" s="216"/>
    </row>
    <row r="4" spans="1:8" ht="15" customHeight="1" thickBot="1">
      <c r="A4" s="396" t="s">
        <v>629</v>
      </c>
      <c r="B4" s="224" t="s">
        <v>4</v>
      </c>
      <c r="C4" s="223" t="s">
        <v>733</v>
      </c>
      <c r="D4" s="223" t="s">
        <v>799</v>
      </c>
      <c r="E4" s="599" t="s">
        <v>629</v>
      </c>
      <c r="F4" s="473" t="s">
        <v>4</v>
      </c>
      <c r="G4" s="543" t="s">
        <v>733</v>
      </c>
      <c r="H4" s="223" t="s">
        <v>799</v>
      </c>
    </row>
    <row r="5" spans="1:8" ht="14.25">
      <c r="A5" s="397" t="s">
        <v>595</v>
      </c>
      <c r="B5" s="411">
        <f>SUM(B6)</f>
        <v>1107179</v>
      </c>
      <c r="C5" s="595">
        <f>SUM(C6:C8)</f>
        <v>1164464</v>
      </c>
      <c r="D5" s="595">
        <f>SUM(D6:D8)</f>
        <v>1178198</v>
      </c>
      <c r="E5" s="600" t="s">
        <v>264</v>
      </c>
      <c r="F5" s="395">
        <f>'4.sz. melléklet'!P6</f>
        <v>1161453</v>
      </c>
      <c r="G5" s="474">
        <f>'4.sz. melléklet'!Q6</f>
        <v>1197396</v>
      </c>
      <c r="H5" s="395">
        <f>'4.sz. melléklet'!R6</f>
        <v>1212307</v>
      </c>
    </row>
    <row r="6" spans="1:8" ht="15">
      <c r="A6" s="398" t="s">
        <v>687</v>
      </c>
      <c r="B6" s="412">
        <f>'3. sz. melléklet'!N7</f>
        <v>1107179</v>
      </c>
      <c r="C6" s="465">
        <f>'3. sz. melléklet'!O7</f>
        <v>1130285</v>
      </c>
      <c r="D6" s="465">
        <f>'3. sz. melléklet'!P7</f>
        <v>1140761</v>
      </c>
      <c r="E6" s="601" t="s">
        <v>265</v>
      </c>
      <c r="F6" s="390">
        <f>'4.sz. melléklet'!P7</f>
        <v>308445</v>
      </c>
      <c r="G6" s="475">
        <f>'4.sz. melléklet'!Q7</f>
        <v>316596</v>
      </c>
      <c r="H6" s="390">
        <f>'4.sz. melléklet'!R7</f>
        <v>319696</v>
      </c>
    </row>
    <row r="7" spans="1:8" ht="15">
      <c r="A7" s="398" t="s">
        <v>754</v>
      </c>
      <c r="B7" s="412"/>
      <c r="C7" s="465">
        <f>'3. sz. melléklet'!O8</f>
        <v>4841</v>
      </c>
      <c r="D7" s="465">
        <f>'3. sz. melléklet'!P8</f>
        <v>4841</v>
      </c>
      <c r="E7" s="601"/>
      <c r="F7" s="390"/>
      <c r="G7" s="475"/>
      <c r="H7" s="214"/>
    </row>
    <row r="8" spans="1:8" ht="15">
      <c r="A8" s="398" t="s">
        <v>694</v>
      </c>
      <c r="B8" s="412"/>
      <c r="C8" s="465">
        <f>'3. sz. melléklet'!O9</f>
        <v>29338</v>
      </c>
      <c r="D8" s="465">
        <f>'3. sz. melléklet'!P9</f>
        <v>32596</v>
      </c>
      <c r="E8" s="601"/>
      <c r="F8" s="390"/>
      <c r="G8" s="478"/>
      <c r="H8" s="214"/>
    </row>
    <row r="9" spans="1:8" ht="14.25">
      <c r="A9" s="399" t="s">
        <v>597</v>
      </c>
      <c r="B9" s="413">
        <f>SUM(B10:B11)</f>
        <v>421160</v>
      </c>
      <c r="C9" s="466">
        <f>SUM(C10:C11)</f>
        <v>498282</v>
      </c>
      <c r="D9" s="466">
        <f>SUM(D10:D12)</f>
        <v>603602</v>
      </c>
      <c r="E9" s="601" t="s">
        <v>266</v>
      </c>
      <c r="F9" s="390">
        <f>'4.sz. melléklet'!P8</f>
        <v>1723449</v>
      </c>
      <c r="G9" s="475">
        <f>'4.sz. melléklet'!Q8</f>
        <v>1839860</v>
      </c>
      <c r="H9" s="390">
        <f>'4.sz. melléklet'!R8</f>
        <v>1928244</v>
      </c>
    </row>
    <row r="10" spans="1:8" ht="15">
      <c r="A10" s="400" t="s">
        <v>573</v>
      </c>
      <c r="B10" s="212">
        <f>'3. sz. melléklet'!N11</f>
        <v>107209</v>
      </c>
      <c r="C10" s="467">
        <f>'3. sz. melléklet'!O11</f>
        <v>10000</v>
      </c>
      <c r="D10" s="467">
        <f>'3. sz. melléklet'!P11</f>
        <v>6635</v>
      </c>
      <c r="E10" s="601" t="s">
        <v>576</v>
      </c>
      <c r="F10" s="390">
        <f>'4.sz. melléklet'!P9</f>
        <v>62251</v>
      </c>
      <c r="G10" s="475">
        <f>'4.sz. melléklet'!Q9</f>
        <v>72284</v>
      </c>
      <c r="H10" s="390">
        <f>'4.sz. melléklet'!R9</f>
        <v>104765</v>
      </c>
    </row>
    <row r="11" spans="1:8" ht="15">
      <c r="A11" s="400" t="s">
        <v>599</v>
      </c>
      <c r="B11" s="212">
        <f>'3. sz. melléklet'!N12</f>
        <v>313951</v>
      </c>
      <c r="C11" s="467">
        <f>'3. sz. melléklet'!O12</f>
        <v>488282</v>
      </c>
      <c r="D11" s="467">
        <f>'3. sz. melléklet'!P12</f>
        <v>566967</v>
      </c>
      <c r="E11" s="601" t="s">
        <v>571</v>
      </c>
      <c r="F11" s="390">
        <f>SUM(F13+F14+F15+F19)</f>
        <v>1111548</v>
      </c>
      <c r="G11" s="475">
        <f>SUM(G13+G14+G15+G19)</f>
        <v>1187887</v>
      </c>
      <c r="H11" s="390">
        <f>SUM(H13+H14+H15+H19)</f>
        <v>1213031</v>
      </c>
    </row>
    <row r="12" spans="1:8" ht="15">
      <c r="A12" s="400" t="s">
        <v>880</v>
      </c>
      <c r="B12" s="212"/>
      <c r="C12" s="467"/>
      <c r="D12" s="467">
        <f>'3. sz. melléklet'!P13</f>
        <v>30000</v>
      </c>
      <c r="E12" s="601"/>
      <c r="F12" s="390"/>
      <c r="G12" s="475"/>
      <c r="H12" s="390"/>
    </row>
    <row r="13" spans="1:8" ht="15">
      <c r="A13" s="399" t="s">
        <v>267</v>
      </c>
      <c r="B13" s="413">
        <f>SUM(B14:B17)</f>
        <v>1918951</v>
      </c>
      <c r="C13" s="466">
        <f>SUM(C14:C17)</f>
        <v>1918981</v>
      </c>
      <c r="D13" s="466">
        <f>SUM(D14:D17)</f>
        <v>1942723</v>
      </c>
      <c r="E13" s="602" t="s">
        <v>583</v>
      </c>
      <c r="F13" s="391">
        <f>'4.sz. melléklet'!P11</f>
        <v>42220</v>
      </c>
      <c r="G13" s="476">
        <f>'4.sz. melléklet'!Q11</f>
        <v>40220</v>
      </c>
      <c r="H13" s="391">
        <f>'4.sz. melléklet'!R11</f>
        <v>36855</v>
      </c>
    </row>
    <row r="14" spans="1:8" ht="15">
      <c r="A14" s="400" t="s">
        <v>609</v>
      </c>
      <c r="B14" s="212">
        <f>'3. sz. melléklet'!N21</f>
        <v>430000</v>
      </c>
      <c r="C14" s="467">
        <f>'3. sz. melléklet'!O21</f>
        <v>430000</v>
      </c>
      <c r="D14" s="467">
        <f>'3. sz. melléklet'!P21</f>
        <v>439000</v>
      </c>
      <c r="E14" s="603" t="s">
        <v>584</v>
      </c>
      <c r="F14" s="391">
        <f>'4.sz. melléklet'!P12</f>
        <v>867928</v>
      </c>
      <c r="G14" s="476">
        <f>'4.sz. melléklet'!Q12</f>
        <v>1105148</v>
      </c>
      <c r="H14" s="391">
        <f>'4.sz. melléklet'!R12</f>
        <v>1126155</v>
      </c>
    </row>
    <row r="15" spans="1:8" ht="15">
      <c r="A15" s="400" t="s">
        <v>579</v>
      </c>
      <c r="B15" s="212">
        <f>'3. sz. melléklet'!N24</f>
        <v>1468951</v>
      </c>
      <c r="C15" s="467">
        <f>'3. sz. melléklet'!O24</f>
        <v>1468951</v>
      </c>
      <c r="D15" s="467">
        <f>'3. sz. melléklet'!P24</f>
        <v>1492693</v>
      </c>
      <c r="E15" s="603" t="s">
        <v>654</v>
      </c>
      <c r="F15" s="391">
        <f>SUM(F16:F18)</f>
        <v>193800</v>
      </c>
      <c r="G15" s="476">
        <f>SUM(G16:G18)</f>
        <v>27498</v>
      </c>
      <c r="H15" s="391">
        <f>SUM(H16:H18)</f>
        <v>5000</v>
      </c>
    </row>
    <row r="16" spans="1:8" ht="15">
      <c r="A16" s="400" t="s">
        <v>35</v>
      </c>
      <c r="B16" s="212">
        <f>'3. sz. melléklet'!N29</f>
        <v>19500</v>
      </c>
      <c r="C16" s="467">
        <f>'3. sz. melléklet'!O29</f>
        <v>19500</v>
      </c>
      <c r="D16" s="467">
        <f>'3. sz. melléklet'!P29</f>
        <v>10500</v>
      </c>
      <c r="E16" s="604" t="s">
        <v>575</v>
      </c>
      <c r="F16" s="392">
        <f>'4.sz. melléklet'!P14</f>
        <v>15000</v>
      </c>
      <c r="G16" s="477">
        <f>'4.sz. melléklet'!Q14</f>
        <v>6086</v>
      </c>
      <c r="H16" s="392">
        <f>'4.sz. melléklet'!R14</f>
        <v>4043</v>
      </c>
    </row>
    <row r="17" spans="1:8" ht="15" customHeight="1">
      <c r="A17" s="400" t="s">
        <v>497</v>
      </c>
      <c r="B17" s="212">
        <f>'3. sz. melléklet'!N30</f>
        <v>500</v>
      </c>
      <c r="C17" s="467">
        <f>'3. sz. melléklet'!O30</f>
        <v>530</v>
      </c>
      <c r="D17" s="467">
        <f>'3. sz. melléklet'!P30</f>
        <v>530</v>
      </c>
      <c r="E17" s="604" t="s">
        <v>32</v>
      </c>
      <c r="F17" s="392">
        <f>'4.sz. melléklet'!P15</f>
        <v>100000</v>
      </c>
      <c r="G17" s="477">
        <f>'4.sz. melléklet'!Q15</f>
        <v>7373</v>
      </c>
      <c r="H17" s="392">
        <f>'4.sz. melléklet'!R15</f>
        <v>957</v>
      </c>
    </row>
    <row r="18" spans="1:8" ht="15">
      <c r="A18" s="399" t="s">
        <v>616</v>
      </c>
      <c r="B18" s="413">
        <f>SUM(B19:B26)</f>
        <v>1224609</v>
      </c>
      <c r="C18" s="466">
        <f>SUM(C19:C26)</f>
        <v>1249257</v>
      </c>
      <c r="D18" s="466">
        <f>SUM(D19:D26)</f>
        <v>1201018</v>
      </c>
      <c r="E18" s="604" t="s">
        <v>585</v>
      </c>
      <c r="F18" s="392">
        <f>'4.sz. melléklet'!P16</f>
        <v>78800</v>
      </c>
      <c r="G18" s="477">
        <f>'4.sz. melléklet'!Q16</f>
        <v>14039</v>
      </c>
      <c r="H18" s="392">
        <f>'4.sz. melléklet'!R16</f>
        <v>0</v>
      </c>
    </row>
    <row r="19" spans="1:8" ht="30">
      <c r="A19" s="401" t="s">
        <v>206</v>
      </c>
      <c r="B19" s="212">
        <f>'3. sz. melléklet'!N32</f>
        <v>523842</v>
      </c>
      <c r="C19" s="467">
        <f>'3. sz. melléklet'!O32</f>
        <v>520520</v>
      </c>
      <c r="D19" s="467">
        <f>'3. sz. melléklet'!P32</f>
        <v>520520</v>
      </c>
      <c r="E19" s="605" t="s">
        <v>33</v>
      </c>
      <c r="F19" s="392">
        <f>'4.sz. melléklet'!P17</f>
        <v>7600</v>
      </c>
      <c r="G19" s="477">
        <f>'4.sz. melléklet'!Q17</f>
        <v>15021</v>
      </c>
      <c r="H19" s="392">
        <f>'4.sz. melléklet'!R17</f>
        <v>45021</v>
      </c>
    </row>
    <row r="20" spans="1:8" ht="15">
      <c r="A20" s="401" t="s">
        <v>580</v>
      </c>
      <c r="B20" s="212">
        <f>'3. sz. melléklet'!N33</f>
        <v>90640</v>
      </c>
      <c r="C20" s="467">
        <f>'3. sz. melléklet'!O33</f>
        <v>109239</v>
      </c>
      <c r="D20" s="467">
        <f>'3. sz. melléklet'!P33</f>
        <v>108976</v>
      </c>
      <c r="E20" s="606"/>
      <c r="F20" s="392"/>
      <c r="G20" s="478"/>
      <c r="H20" s="214"/>
    </row>
    <row r="21" spans="1:8" ht="15">
      <c r="A21" s="401" t="s">
        <v>37</v>
      </c>
      <c r="B21" s="212">
        <f>'3. sz. melléklet'!N34</f>
        <v>32100</v>
      </c>
      <c r="C21" s="467">
        <f>'3. sz. melléklet'!O34</f>
        <v>33064</v>
      </c>
      <c r="D21" s="467">
        <f>'3. sz. melléklet'!P34</f>
        <v>33064</v>
      </c>
      <c r="E21" s="606"/>
      <c r="F21" s="392"/>
      <c r="G21" s="478"/>
      <c r="H21" s="214"/>
    </row>
    <row r="22" spans="1:8" ht="15">
      <c r="A22" s="401" t="s">
        <v>581</v>
      </c>
      <c r="B22" s="212">
        <f>'3. sz. melléklet'!N35</f>
        <v>101169</v>
      </c>
      <c r="C22" s="467">
        <f>'3. sz. melléklet'!O35</f>
        <v>101169</v>
      </c>
      <c r="D22" s="467">
        <f>'3. sz. melléklet'!P35</f>
        <v>108567</v>
      </c>
      <c r="E22" s="607"/>
      <c r="F22" s="391"/>
      <c r="G22" s="478"/>
      <c r="H22" s="214"/>
    </row>
    <row r="23" spans="1:8" ht="15">
      <c r="A23" s="401" t="s">
        <v>618</v>
      </c>
      <c r="B23" s="212">
        <f>'3. sz. melléklet'!N37</f>
        <v>92312</v>
      </c>
      <c r="C23" s="467">
        <f>'3. sz. melléklet'!O37</f>
        <v>94111</v>
      </c>
      <c r="D23" s="467">
        <f>'3. sz. melléklet'!P37</f>
        <v>94111</v>
      </c>
      <c r="E23" s="608"/>
      <c r="F23" s="393"/>
      <c r="G23" s="478"/>
      <c r="H23" s="214"/>
    </row>
    <row r="24" spans="1:8" ht="15">
      <c r="A24" s="401" t="s">
        <v>153</v>
      </c>
      <c r="B24" s="212">
        <f>'3. sz. melléklet'!N38</f>
        <v>237476</v>
      </c>
      <c r="C24" s="467">
        <f>'3. sz. melléklet'!O38</f>
        <v>243593</v>
      </c>
      <c r="D24" s="467">
        <f>'3. sz. melléklet'!P38</f>
        <v>237043</v>
      </c>
      <c r="E24" s="608"/>
      <c r="F24" s="393"/>
      <c r="G24" s="478"/>
      <c r="H24" s="214"/>
    </row>
    <row r="25" spans="1:8" ht="15">
      <c r="A25" s="401" t="s">
        <v>619</v>
      </c>
      <c r="B25" s="212">
        <f>'3. sz. melléklet'!N39</f>
        <v>16766</v>
      </c>
      <c r="C25" s="467">
        <f>'3. sz. melléklet'!O39</f>
        <v>17000</v>
      </c>
      <c r="D25" s="467">
        <f>'3. sz. melléklet'!P39</f>
        <v>3769</v>
      </c>
      <c r="E25" s="602"/>
      <c r="F25" s="391"/>
      <c r="G25" s="478"/>
      <c r="H25" s="214"/>
    </row>
    <row r="26" spans="1:8" ht="15">
      <c r="A26" s="401" t="s">
        <v>136</v>
      </c>
      <c r="B26" s="212">
        <f>'3. sz. melléklet'!N40</f>
        <v>130304</v>
      </c>
      <c r="C26" s="467">
        <f>'3. sz. melléklet'!O40</f>
        <v>130561</v>
      </c>
      <c r="D26" s="467">
        <f>'3. sz. melléklet'!P40</f>
        <v>94968</v>
      </c>
      <c r="E26" s="609"/>
      <c r="F26" s="391"/>
      <c r="G26" s="478"/>
      <c r="H26" s="214"/>
    </row>
    <row r="27" spans="1:8" ht="15">
      <c r="A27" s="402" t="s">
        <v>268</v>
      </c>
      <c r="B27" s="413">
        <f>SUM(B28:B29)</f>
        <v>304753</v>
      </c>
      <c r="C27" s="466">
        <f>SUM(C28:C29)</f>
        <v>373228</v>
      </c>
      <c r="D27" s="466">
        <f>SUM(D28:D29)</f>
        <v>249614</v>
      </c>
      <c r="E27" s="602"/>
      <c r="F27" s="391"/>
      <c r="G27" s="478"/>
      <c r="H27" s="214"/>
    </row>
    <row r="28" spans="1:255" ht="15">
      <c r="A28" s="401" t="s">
        <v>582</v>
      </c>
      <c r="B28" s="212">
        <v>174449</v>
      </c>
      <c r="C28" s="467">
        <v>242921</v>
      </c>
      <c r="D28" s="597">
        <v>155310</v>
      </c>
      <c r="E28" s="602"/>
      <c r="F28" s="391"/>
      <c r="G28" s="478"/>
      <c r="H28" s="214"/>
      <c r="IT28" s="42"/>
      <c r="IU28" s="42"/>
    </row>
    <row r="29" spans="1:255" ht="15">
      <c r="A29" s="403" t="s">
        <v>306</v>
      </c>
      <c r="B29" s="414">
        <f>'3. sz. melléklet'!B40</f>
        <v>130304</v>
      </c>
      <c r="C29" s="596">
        <f>'3. sz. melléklet'!C40</f>
        <v>130307</v>
      </c>
      <c r="D29" s="596">
        <v>94304</v>
      </c>
      <c r="E29" s="602"/>
      <c r="F29" s="391"/>
      <c r="G29" s="478"/>
      <c r="H29" s="214"/>
      <c r="IT29" s="42"/>
      <c r="IU29" s="42"/>
    </row>
    <row r="30" spans="1:255" ht="15" customHeight="1">
      <c r="A30" s="404" t="s">
        <v>719</v>
      </c>
      <c r="B30" s="415"/>
      <c r="C30" s="545">
        <f>SUM(C31:C32)</f>
        <v>102908</v>
      </c>
      <c r="D30" s="545">
        <f>SUM(D31:D32)</f>
        <v>48757</v>
      </c>
      <c r="E30" s="602"/>
      <c r="F30" s="391"/>
      <c r="G30" s="478"/>
      <c r="H30" s="214"/>
      <c r="IT30" s="42"/>
      <c r="IU30" s="42"/>
    </row>
    <row r="31" spans="1:255" ht="15">
      <c r="A31" s="405" t="s">
        <v>573</v>
      </c>
      <c r="B31" s="415"/>
      <c r="C31" s="467">
        <f>'3. sz. melléklet'!O46</f>
        <v>96209</v>
      </c>
      <c r="D31" s="467">
        <f>'3. sz. melléklet'!P46</f>
        <v>38720</v>
      </c>
      <c r="E31" s="602"/>
      <c r="F31" s="391"/>
      <c r="G31" s="478"/>
      <c r="H31" s="214"/>
      <c r="IT31" s="42"/>
      <c r="IU31" s="42"/>
    </row>
    <row r="32" spans="1:255" ht="15">
      <c r="A32" s="405" t="s">
        <v>599</v>
      </c>
      <c r="B32" s="415"/>
      <c r="C32" s="467">
        <f>'3. sz. melléklet'!O47</f>
        <v>6699</v>
      </c>
      <c r="D32" s="467">
        <f>'3. sz. melléklet'!P47</f>
        <v>10037</v>
      </c>
      <c r="E32" s="602"/>
      <c r="F32" s="391"/>
      <c r="G32" s="478"/>
      <c r="H32" s="214"/>
      <c r="IT32" s="42"/>
      <c r="IU32" s="42"/>
    </row>
    <row r="33" spans="1:8" s="42" customFormat="1" ht="15" thickBot="1">
      <c r="A33" s="406" t="s">
        <v>269</v>
      </c>
      <c r="B33" s="416">
        <f>SUM(B5+B9+B13+B18-B27)</f>
        <v>4367146</v>
      </c>
      <c r="C33" s="468">
        <f>SUM(C5+C9+C13+C18-C27+C30)</f>
        <v>4560664</v>
      </c>
      <c r="D33" s="468">
        <f>SUM(D5+D9+D13+D18-D27+D30)</f>
        <v>4724684</v>
      </c>
      <c r="E33" s="601" t="s">
        <v>270</v>
      </c>
      <c r="F33" s="390">
        <f>SUM(F5+F6+F9+F10+F11)</f>
        <v>4367146</v>
      </c>
      <c r="G33" s="475">
        <f>SUM(G5+G6+G9+G10+G11)</f>
        <v>4614023</v>
      </c>
      <c r="H33" s="390">
        <f>SUM(H5+H6+H9+H10+H11)</f>
        <v>4778043</v>
      </c>
    </row>
    <row r="34" spans="1:8" s="42" customFormat="1" ht="15" thickBot="1">
      <c r="A34" s="407" t="s">
        <v>271</v>
      </c>
      <c r="B34" s="417">
        <f>B33-F33</f>
        <v>0</v>
      </c>
      <c r="C34" s="469"/>
      <c r="D34" s="417"/>
      <c r="E34" s="610" t="s">
        <v>715</v>
      </c>
      <c r="F34" s="390"/>
      <c r="G34" s="475">
        <f>'4.sz. melléklet'!Q32</f>
        <v>420000</v>
      </c>
      <c r="H34" s="390">
        <f>'4.sz. melléklet'!R32</f>
        <v>1250000</v>
      </c>
    </row>
    <row r="35" spans="1:8" s="42" customFormat="1" ht="15" thickBot="1">
      <c r="A35" s="407" t="s">
        <v>261</v>
      </c>
      <c r="B35" s="417"/>
      <c r="C35" s="469">
        <v>53359</v>
      </c>
      <c r="D35" s="417">
        <v>53359</v>
      </c>
      <c r="E35" s="610" t="s">
        <v>498</v>
      </c>
      <c r="F35" s="390">
        <f>'4.sz. melléklet'!P33</f>
        <v>1656216</v>
      </c>
      <c r="G35" s="475">
        <f>'4.sz. melléklet'!Q33</f>
        <v>1701357</v>
      </c>
      <c r="H35" s="390">
        <f>'4.sz. melléklet'!R33</f>
        <v>1706186</v>
      </c>
    </row>
    <row r="36" spans="1:8" s="42" customFormat="1" ht="15">
      <c r="A36" s="542" t="s">
        <v>758</v>
      </c>
      <c r="B36" s="467"/>
      <c r="C36" s="467">
        <f>'3. sz. melléklet'!O56</f>
        <v>560500</v>
      </c>
      <c r="D36" s="467">
        <f>'3. sz. melléklet'!P56</f>
        <v>679085</v>
      </c>
      <c r="E36" s="610" t="s">
        <v>753</v>
      </c>
      <c r="F36" s="390"/>
      <c r="G36" s="475">
        <f>'4.sz. melléklet'!Q31</f>
        <v>560500</v>
      </c>
      <c r="H36" s="390">
        <f>'4.sz. melléklet'!R31</f>
        <v>679085</v>
      </c>
    </row>
    <row r="37" spans="1:8" s="42" customFormat="1" ht="15">
      <c r="A37" s="406" t="s">
        <v>731</v>
      </c>
      <c r="B37" s="416"/>
      <c r="C37" s="467">
        <f>'3. sz. melléklet'!O59</f>
        <v>420000</v>
      </c>
      <c r="D37" s="467">
        <f>'3. sz. melléklet'!P59</f>
        <v>1250000</v>
      </c>
      <c r="E37" s="610"/>
      <c r="F37" s="390"/>
      <c r="G37" s="478"/>
      <c r="H37" s="214"/>
    </row>
    <row r="38" spans="1:8" s="42" customFormat="1" ht="16.5" thickBot="1">
      <c r="A38" s="408" t="s">
        <v>272</v>
      </c>
      <c r="B38" s="418">
        <f>'3. sz. melléklet'!N58</f>
        <v>1656216</v>
      </c>
      <c r="C38" s="470">
        <f>'3. sz. melléklet'!O58</f>
        <v>1701357</v>
      </c>
      <c r="D38" s="470">
        <f>'3. sz. melléklet'!P58</f>
        <v>1706186</v>
      </c>
      <c r="E38" s="611"/>
      <c r="F38" s="390"/>
      <c r="G38" s="478"/>
      <c r="H38" s="214"/>
    </row>
    <row r="39" spans="1:8" s="42" customFormat="1" ht="15" thickBot="1">
      <c r="A39" s="409" t="s">
        <v>273</v>
      </c>
      <c r="B39" s="419">
        <f>SUM(B34:B38)</f>
        <v>1656216</v>
      </c>
      <c r="C39" s="471">
        <f>SUM(C35:C38)</f>
        <v>2735216</v>
      </c>
      <c r="D39" s="471">
        <f>SUM(D35:D38)</f>
        <v>3688630</v>
      </c>
      <c r="E39" s="601" t="s">
        <v>274</v>
      </c>
      <c r="F39" s="390">
        <f>SUM(F34:F38)</f>
        <v>1656216</v>
      </c>
      <c r="G39" s="475">
        <f>SUM(G34:G38)</f>
        <v>2681857</v>
      </c>
      <c r="H39" s="390">
        <f>SUM(H34:H38)</f>
        <v>3635271</v>
      </c>
    </row>
    <row r="40" spans="1:8" s="42" customFormat="1" ht="15" thickBot="1">
      <c r="A40" s="410" t="s">
        <v>275</v>
      </c>
      <c r="B40" s="420">
        <f>SUM(B33+B39)</f>
        <v>6023362</v>
      </c>
      <c r="C40" s="472">
        <f>SUM(C33+C39)</f>
        <v>7295880</v>
      </c>
      <c r="D40" s="472">
        <f>SUM(D33+D39)</f>
        <v>8413314</v>
      </c>
      <c r="E40" s="612" t="s">
        <v>275</v>
      </c>
      <c r="F40" s="394">
        <f>F33+F39</f>
        <v>6023362</v>
      </c>
      <c r="G40" s="479">
        <f>G33+G39</f>
        <v>7295880</v>
      </c>
      <c r="H40" s="394">
        <f>H33+H39</f>
        <v>8413314</v>
      </c>
    </row>
    <row r="41" spans="1:6" s="42" customFormat="1" ht="15">
      <c r="A41" s="100"/>
      <c r="B41" s="43"/>
      <c r="C41" s="43"/>
      <c r="D41" s="43"/>
      <c r="E41" s="100"/>
      <c r="F41" s="44"/>
    </row>
    <row r="42" spans="1:6" s="42" customFormat="1" ht="15">
      <c r="A42" s="100"/>
      <c r="B42" s="43"/>
      <c r="C42" s="43"/>
      <c r="D42" s="43"/>
      <c r="E42" s="100"/>
      <c r="F42" s="44"/>
    </row>
    <row r="43" spans="1:6" s="39" customFormat="1" ht="15" customHeight="1">
      <c r="A43" s="1147" t="s">
        <v>231</v>
      </c>
      <c r="B43" s="1147"/>
      <c r="C43" s="1147"/>
      <c r="D43" s="1147"/>
      <c r="E43" s="1147"/>
      <c r="F43" s="1147"/>
    </row>
    <row r="44" ht="14.25" customHeight="1" thickBot="1">
      <c r="E44" s="101"/>
    </row>
    <row r="45" spans="1:8" s="39" customFormat="1" ht="15" thickBot="1">
      <c r="A45" s="1148" t="s">
        <v>262</v>
      </c>
      <c r="B45" s="1149"/>
      <c r="C45" s="448"/>
      <c r="D45" s="448"/>
      <c r="E45" s="1150" t="s">
        <v>263</v>
      </c>
      <c r="F45" s="1152"/>
      <c r="G45" s="634"/>
      <c r="H45" s="617"/>
    </row>
    <row r="46" spans="1:8" s="39" customFormat="1" ht="16.5" customHeight="1" thickBot="1">
      <c r="A46" s="387" t="s">
        <v>629</v>
      </c>
      <c r="B46" s="429" t="s">
        <v>4</v>
      </c>
      <c r="C46" s="223" t="s">
        <v>733</v>
      </c>
      <c r="D46" s="543" t="s">
        <v>799</v>
      </c>
      <c r="E46" s="387" t="s">
        <v>629</v>
      </c>
      <c r="F46" s="629" t="s">
        <v>630</v>
      </c>
      <c r="G46" s="223" t="s">
        <v>733</v>
      </c>
      <c r="H46" s="223" t="s">
        <v>799</v>
      </c>
    </row>
    <row r="47" spans="1:8" s="39" customFormat="1" ht="14.25">
      <c r="A47" s="421" t="s">
        <v>600</v>
      </c>
      <c r="B47" s="430">
        <f>SUM(B48:B49)</f>
        <v>1606819</v>
      </c>
      <c r="C47" s="430">
        <f>SUM(C48:C49)</f>
        <v>1462851</v>
      </c>
      <c r="D47" s="430">
        <f>SUM(D48:D49)</f>
        <v>1359121</v>
      </c>
      <c r="E47" s="618" t="s">
        <v>276</v>
      </c>
      <c r="F47" s="613">
        <f>'4.sz. melléklet'!P18</f>
        <v>2245365</v>
      </c>
      <c r="G47" s="430">
        <f>'4.sz. melléklet'!Q18</f>
        <v>2233463</v>
      </c>
      <c r="H47" s="430">
        <f>'4.sz. melléklet'!R18</f>
        <v>2014605</v>
      </c>
    </row>
    <row r="48" spans="1:8" s="39" customFormat="1" ht="15">
      <c r="A48" s="389" t="s">
        <v>573</v>
      </c>
      <c r="B48" s="211">
        <f>'3. sz. melléklet'!N15</f>
        <v>2290</v>
      </c>
      <c r="C48" s="211">
        <f>'3. sz. melléklet'!O15</f>
        <v>380</v>
      </c>
      <c r="D48" s="211">
        <f>'3. sz. melléklet'!P15</f>
        <v>380</v>
      </c>
      <c r="E48" s="619"/>
      <c r="F48" s="464"/>
      <c r="G48" s="213"/>
      <c r="H48" s="630"/>
    </row>
    <row r="49" spans="1:8" s="39" customFormat="1" ht="15">
      <c r="A49" s="422" t="s">
        <v>599</v>
      </c>
      <c r="B49" s="212">
        <f>'3. sz. melléklet'!N16</f>
        <v>1604529</v>
      </c>
      <c r="C49" s="212">
        <f>'3. sz. melléklet'!O16</f>
        <v>1462471</v>
      </c>
      <c r="D49" s="212">
        <f>'3. sz. melléklet'!P16</f>
        <v>1358741</v>
      </c>
      <c r="E49" s="620" t="s">
        <v>277</v>
      </c>
      <c r="F49" s="614">
        <f>'4.sz. melléklet'!P19</f>
        <v>253927</v>
      </c>
      <c r="G49" s="440">
        <f>'4.sz. melléklet'!Q19</f>
        <v>247194</v>
      </c>
      <c r="H49" s="440">
        <f>'4.sz. melléklet'!R19</f>
        <v>243780</v>
      </c>
    </row>
    <row r="50" spans="1:8" s="39" customFormat="1" ht="15">
      <c r="A50" s="422"/>
      <c r="B50" s="211"/>
      <c r="C50" s="211"/>
      <c r="D50" s="593"/>
      <c r="E50" s="620"/>
      <c r="F50" s="614"/>
      <c r="G50" s="416"/>
      <c r="H50" s="630"/>
    </row>
    <row r="51" spans="1:8" s="39" customFormat="1" ht="15">
      <c r="A51" s="423" t="s">
        <v>721</v>
      </c>
      <c r="B51" s="211"/>
      <c r="C51" s="418">
        <f>SUM(C52:C53)</f>
        <v>2908</v>
      </c>
      <c r="D51" s="418">
        <f>SUM(D52:D53)</f>
        <v>7581</v>
      </c>
      <c r="E51" s="620"/>
      <c r="F51" s="614"/>
      <c r="G51" s="416"/>
      <c r="H51" s="630"/>
    </row>
    <row r="52" spans="1:8" ht="15">
      <c r="A52" s="422" t="s">
        <v>694</v>
      </c>
      <c r="B52" s="211"/>
      <c r="C52" s="212">
        <f>'3. sz. melléklet'!O18</f>
        <v>1</v>
      </c>
      <c r="D52" s="212">
        <f>'3. sz. melléklet'!P18</f>
        <v>4674</v>
      </c>
      <c r="E52" s="621"/>
      <c r="F52" s="614"/>
      <c r="G52" s="214"/>
      <c r="H52" s="631"/>
    </row>
    <row r="53" spans="1:8" ht="15.75">
      <c r="A53" s="155" t="s">
        <v>755</v>
      </c>
      <c r="B53" s="211"/>
      <c r="C53" s="212">
        <f>'3. sz. melléklet'!O19</f>
        <v>2907</v>
      </c>
      <c r="D53" s="212">
        <f>'3. sz. melléklet'!P19</f>
        <v>2907</v>
      </c>
      <c r="E53" s="621"/>
      <c r="F53" s="614"/>
      <c r="G53" s="546"/>
      <c r="H53" s="631"/>
    </row>
    <row r="54" spans="1:8" ht="14.25">
      <c r="A54" s="424" t="s">
        <v>620</v>
      </c>
      <c r="B54" s="418">
        <f>SUM(B55)</f>
        <v>191090</v>
      </c>
      <c r="C54" s="418">
        <f>SUM(C55:C57)</f>
        <v>162348</v>
      </c>
      <c r="D54" s="418">
        <f>SUM(D55:D57)</f>
        <v>162348</v>
      </c>
      <c r="E54" s="621" t="s">
        <v>278</v>
      </c>
      <c r="F54" s="466">
        <f>SUM(F55:F58)</f>
        <v>440707</v>
      </c>
      <c r="G54" s="413">
        <f>SUM(G55:G58)</f>
        <v>302792</v>
      </c>
      <c r="H54" s="413">
        <f>SUM(H55:H58)</f>
        <v>266412</v>
      </c>
    </row>
    <row r="55" spans="1:8" ht="15">
      <c r="A55" s="389" t="s">
        <v>138</v>
      </c>
      <c r="B55" s="212">
        <f>'3. sz. melléklet'!N42</f>
        <v>191090</v>
      </c>
      <c r="C55" s="212">
        <f>'3. sz. melléklet'!O42</f>
        <v>162088</v>
      </c>
      <c r="D55" s="212">
        <f>'3. sz. melléklet'!P42</f>
        <v>162088</v>
      </c>
      <c r="E55" s="622" t="s">
        <v>589</v>
      </c>
      <c r="F55" s="467">
        <f>'4.sz. melléklet'!P22</f>
        <v>193590</v>
      </c>
      <c r="G55" s="212">
        <f>'4.sz. melléklet'!Q22</f>
        <v>232626</v>
      </c>
      <c r="H55" s="212">
        <f>'4.sz. melléklet'!R22</f>
        <v>236426</v>
      </c>
    </row>
    <row r="56" spans="1:8" ht="15">
      <c r="A56" s="389" t="s">
        <v>756</v>
      </c>
      <c r="B56" s="212"/>
      <c r="C56" s="212">
        <f>'3. sz. melléklet'!O43</f>
        <v>10</v>
      </c>
      <c r="D56" s="212">
        <f>'3. sz. melléklet'!P43</f>
        <v>10</v>
      </c>
      <c r="E56" s="622" t="s">
        <v>573</v>
      </c>
      <c r="F56" s="467"/>
      <c r="G56" s="212">
        <f>'4.sz. melléklet'!Q21</f>
        <v>29786</v>
      </c>
      <c r="H56" s="212">
        <f>'4.sz. melléklet'!R21</f>
        <v>29986</v>
      </c>
    </row>
    <row r="57" spans="1:8" ht="15">
      <c r="A57" s="558" t="s">
        <v>757</v>
      </c>
      <c r="B57" s="212"/>
      <c r="C57" s="212">
        <f>'3. sz. melléklet'!O44</f>
        <v>250</v>
      </c>
      <c r="D57" s="212">
        <f>'3. sz. melléklet'!P44</f>
        <v>250</v>
      </c>
      <c r="E57" s="622"/>
      <c r="F57" s="467"/>
      <c r="G57" s="212"/>
      <c r="H57" s="631"/>
    </row>
    <row r="58" spans="1:8" ht="32.25" customHeight="1">
      <c r="A58" s="424" t="s">
        <v>622</v>
      </c>
      <c r="B58" s="413">
        <f>SUM(B59)</f>
        <v>28075</v>
      </c>
      <c r="C58" s="413">
        <f>SUM(C59:C61)</f>
        <v>63533</v>
      </c>
      <c r="D58" s="413">
        <f>SUM(D59:D61)</f>
        <v>36458</v>
      </c>
      <c r="E58" s="622" t="s">
        <v>248</v>
      </c>
      <c r="F58" s="467">
        <f>SUM(F59:F60)</f>
        <v>247117</v>
      </c>
      <c r="G58" s="212">
        <f>SUM(G59:G60)</f>
        <v>40380</v>
      </c>
      <c r="H58" s="212">
        <f>SUM(H59:H60)</f>
        <v>0</v>
      </c>
    </row>
    <row r="59" spans="1:8" ht="30">
      <c r="A59" s="389" t="s">
        <v>572</v>
      </c>
      <c r="B59" s="212">
        <f>'3. sz. melléklet'!N49</f>
        <v>28075</v>
      </c>
      <c r="C59" s="414">
        <f>'3. sz. melléklet'!O49</f>
        <v>28075</v>
      </c>
      <c r="D59" s="414">
        <f>'3. sz. melléklet'!P49</f>
        <v>1000</v>
      </c>
      <c r="E59" s="623" t="s">
        <v>789</v>
      </c>
      <c r="F59" s="615">
        <f>'4.sz. melléklet'!P24</f>
        <v>77075</v>
      </c>
      <c r="G59" s="441">
        <f>'4.sz. melléklet'!Q24</f>
        <v>31474</v>
      </c>
      <c r="H59" s="441">
        <f>'4.sz. melléklet'!R24</f>
        <v>0</v>
      </c>
    </row>
    <row r="60" spans="1:8" ht="15">
      <c r="A60" s="389" t="s">
        <v>573</v>
      </c>
      <c r="B60" s="211"/>
      <c r="C60" s="414">
        <f>'3. sz. melléklet'!O50</f>
        <v>30696</v>
      </c>
      <c r="D60" s="414">
        <f>'3. sz. melléklet'!P50</f>
        <v>30696</v>
      </c>
      <c r="E60" s="624" t="s">
        <v>590</v>
      </c>
      <c r="F60" s="615">
        <f>'4.sz. melléklet'!P25</f>
        <v>170042</v>
      </c>
      <c r="G60" s="441">
        <f>'4.sz. melléklet'!Q25</f>
        <v>8906</v>
      </c>
      <c r="H60" s="441">
        <f>'4.sz. melléklet'!R25</f>
        <v>0</v>
      </c>
    </row>
    <row r="61" spans="1:8" ht="15">
      <c r="A61" s="389" t="s">
        <v>599</v>
      </c>
      <c r="B61" s="211"/>
      <c r="C61" s="414">
        <f>'3. sz. melléklet'!O51</f>
        <v>4762</v>
      </c>
      <c r="D61" s="414">
        <f>'3. sz. melléklet'!P51</f>
        <v>4762</v>
      </c>
      <c r="E61" s="625"/>
      <c r="F61" s="615"/>
      <c r="G61" s="442"/>
      <c r="H61" s="631"/>
    </row>
    <row r="62" spans="1:8" ht="15.75">
      <c r="A62" s="389"/>
      <c r="B62" s="211"/>
      <c r="C62" s="415"/>
      <c r="D62" s="594"/>
      <c r="E62" s="626"/>
      <c r="F62" s="615"/>
      <c r="G62" s="214"/>
      <c r="H62" s="631"/>
    </row>
    <row r="63" spans="1:8" ht="15">
      <c r="A63" s="388" t="s">
        <v>279</v>
      </c>
      <c r="B63" s="418">
        <f>SUM(B64:B65)</f>
        <v>304753</v>
      </c>
      <c r="C63" s="418">
        <f>SUM(C64:C65)</f>
        <v>373228</v>
      </c>
      <c r="D63" s="418">
        <f>SUM(D64:D65)</f>
        <v>249614</v>
      </c>
      <c r="E63" s="624"/>
      <c r="F63" s="615"/>
      <c r="G63" s="214"/>
      <c r="H63" s="631"/>
    </row>
    <row r="64" spans="1:8" ht="15">
      <c r="A64" s="389" t="s">
        <v>582</v>
      </c>
      <c r="B64" s="211">
        <v>174449</v>
      </c>
      <c r="C64" s="211">
        <v>242921</v>
      </c>
      <c r="D64" s="597">
        <v>155310</v>
      </c>
      <c r="E64" s="624"/>
      <c r="F64" s="615"/>
      <c r="G64" s="214"/>
      <c r="H64" s="631"/>
    </row>
    <row r="65" spans="1:8" ht="15.75" thickBot="1">
      <c r="A65" s="425" t="s">
        <v>307</v>
      </c>
      <c r="B65" s="212">
        <f>'3. sz. melléklet'!B40</f>
        <v>130304</v>
      </c>
      <c r="C65" s="212">
        <f>'3. sz. melléklet'!C40</f>
        <v>130307</v>
      </c>
      <c r="D65" s="596">
        <v>94304</v>
      </c>
      <c r="E65" s="627"/>
      <c r="F65" s="615"/>
      <c r="G65" s="215"/>
      <c r="H65" s="632"/>
    </row>
    <row r="66" spans="1:8" ht="15" thickBot="1">
      <c r="A66" s="426" t="s">
        <v>269</v>
      </c>
      <c r="B66" s="419">
        <f>SUM(B47+B54+B58+B63)</f>
        <v>2130737</v>
      </c>
      <c r="C66" s="419">
        <f>SUM(C47+C54+C58+C63+C51)</f>
        <v>2064868</v>
      </c>
      <c r="D66" s="419">
        <f>SUM(D47+D54+D58+D63+D51)</f>
        <v>1815122</v>
      </c>
      <c r="E66" s="427" t="s">
        <v>270</v>
      </c>
      <c r="F66" s="471">
        <f>SUM(F47+F49+F54)</f>
        <v>2939999</v>
      </c>
      <c r="G66" s="419">
        <f>SUM(G47+G49+G54)</f>
        <v>2783449</v>
      </c>
      <c r="H66" s="419">
        <f>SUM(H47+H49+H54)</f>
        <v>2524797</v>
      </c>
    </row>
    <row r="67" spans="1:8" ht="15" thickBot="1">
      <c r="A67" s="426" t="s">
        <v>271</v>
      </c>
      <c r="B67" s="419">
        <f>B66-F66</f>
        <v>-809262</v>
      </c>
      <c r="C67" s="419">
        <f>C66-G66</f>
        <v>-718581</v>
      </c>
      <c r="D67" s="419">
        <f>D66-H66</f>
        <v>-709675</v>
      </c>
      <c r="E67" s="427"/>
      <c r="F67" s="471"/>
      <c r="G67" s="216"/>
      <c r="H67" s="633"/>
    </row>
    <row r="68" spans="1:8" ht="14.25">
      <c r="A68" s="421" t="s">
        <v>577</v>
      </c>
      <c r="B68" s="430">
        <f>SUM(B69)</f>
        <v>100000</v>
      </c>
      <c r="C68" s="613">
        <f>SUM(C69)</f>
        <v>100006</v>
      </c>
      <c r="D68" s="613">
        <f>SUM(D69)</f>
        <v>100006</v>
      </c>
      <c r="E68" s="618" t="s">
        <v>726</v>
      </c>
      <c r="F68" s="613"/>
      <c r="G68" s="432">
        <f>SUM(G69:G71)</f>
        <v>257081</v>
      </c>
      <c r="H68" s="432">
        <f>SUM(H69:H71)</f>
        <v>257081</v>
      </c>
    </row>
    <row r="69" spans="1:8" ht="15">
      <c r="A69" s="389" t="s">
        <v>261</v>
      </c>
      <c r="B69" s="212">
        <f>'3. sz. melléklet'!N57</f>
        <v>100000</v>
      </c>
      <c r="C69" s="467">
        <v>100006</v>
      </c>
      <c r="D69" s="467">
        <v>100006</v>
      </c>
      <c r="E69" s="620" t="s">
        <v>727</v>
      </c>
      <c r="F69" s="614"/>
      <c r="G69" s="547">
        <f>'4.sz. melléklet'!Q28</f>
        <v>35131</v>
      </c>
      <c r="H69" s="547">
        <f>'4.sz. melléklet'!R28</f>
        <v>35131</v>
      </c>
    </row>
    <row r="70" spans="1:8" ht="14.25">
      <c r="A70" s="388" t="s">
        <v>578</v>
      </c>
      <c r="B70" s="413">
        <f>SUM(B71:B71)</f>
        <v>709262</v>
      </c>
      <c r="C70" s="466">
        <f>SUM(C71:C72)</f>
        <v>875656</v>
      </c>
      <c r="D70" s="466">
        <f>SUM(D71:D72)</f>
        <v>866750</v>
      </c>
      <c r="E70" s="620" t="s">
        <v>728</v>
      </c>
      <c r="F70" s="614"/>
      <c r="G70" s="547">
        <f>'4.sz. melléklet'!Q29</f>
        <v>55556</v>
      </c>
      <c r="H70" s="547">
        <f>'4.sz. melléklet'!R29</f>
        <v>55556</v>
      </c>
    </row>
    <row r="71" spans="1:8" ht="15.75">
      <c r="A71" s="389" t="s">
        <v>659</v>
      </c>
      <c r="B71" s="212">
        <f>'3. sz. melléklet'!N54</f>
        <v>709262</v>
      </c>
      <c r="C71" s="467">
        <f>'3. sz. melléklet'!O54</f>
        <v>709262</v>
      </c>
      <c r="D71" s="467">
        <f>'3. sz. melléklet'!P54</f>
        <v>700356</v>
      </c>
      <c r="E71" s="37" t="s">
        <v>788</v>
      </c>
      <c r="F71" s="614"/>
      <c r="G71" s="547">
        <f>'4.sz. melléklet'!Q30</f>
        <v>166394</v>
      </c>
      <c r="H71" s="547">
        <f>'4.sz. melléklet'!R30</f>
        <v>166394</v>
      </c>
    </row>
    <row r="72" spans="1:8" ht="15.75" thickBot="1">
      <c r="A72" s="567" t="s">
        <v>788</v>
      </c>
      <c r="B72" s="566"/>
      <c r="C72" s="467">
        <f>'3. sz. melléklet'!O55</f>
        <v>166394</v>
      </c>
      <c r="D72" s="467">
        <f>'3. sz. melléklet'!P55</f>
        <v>166394</v>
      </c>
      <c r="E72" s="628"/>
      <c r="F72" s="468"/>
      <c r="G72" s="546"/>
      <c r="H72" s="632"/>
    </row>
    <row r="73" spans="1:8" ht="15.75" customHeight="1" thickBot="1">
      <c r="A73" s="427" t="s">
        <v>273</v>
      </c>
      <c r="B73" s="419">
        <f>SUM(B70,B68)</f>
        <v>809262</v>
      </c>
      <c r="C73" s="419">
        <f>SUM(C70,C68)</f>
        <v>975662</v>
      </c>
      <c r="D73" s="419">
        <f>SUM(D70,D68)</f>
        <v>966756</v>
      </c>
      <c r="E73" s="427" t="s">
        <v>274</v>
      </c>
      <c r="F73" s="471">
        <f>SUM(F69:F71)</f>
        <v>0</v>
      </c>
      <c r="G73" s="419">
        <f>SUM(G69:G71)</f>
        <v>257081</v>
      </c>
      <c r="H73" s="419">
        <f>SUM(H69:H71)</f>
        <v>257081</v>
      </c>
    </row>
    <row r="74" spans="1:8" ht="15" thickBot="1">
      <c r="A74" s="428" t="s">
        <v>275</v>
      </c>
      <c r="B74" s="431">
        <f>SUM(B66+B73)</f>
        <v>2939999</v>
      </c>
      <c r="C74" s="431">
        <f>SUM(C66+C73)</f>
        <v>3040530</v>
      </c>
      <c r="D74" s="431">
        <f>SUM(D66+D73)</f>
        <v>2781878</v>
      </c>
      <c r="E74" s="428" t="s">
        <v>275</v>
      </c>
      <c r="F74" s="616">
        <f>SUM(F66+F73)</f>
        <v>2939999</v>
      </c>
      <c r="G74" s="431">
        <f>SUM(G66+G73)</f>
        <v>3040530</v>
      </c>
      <c r="H74" s="431">
        <f>SUM(H66+H73)</f>
        <v>2781878</v>
      </c>
    </row>
    <row r="75" spans="1:6" ht="14.25">
      <c r="A75" s="102"/>
      <c r="B75" s="45"/>
      <c r="C75" s="45"/>
      <c r="D75" s="45"/>
      <c r="E75" s="102"/>
      <c r="F75" s="45"/>
    </row>
    <row r="76" spans="1:8" ht="14.25">
      <c r="A76" s="103" t="s">
        <v>280</v>
      </c>
      <c r="B76" s="46">
        <f>SUM(B40,B74)</f>
        <v>8963361</v>
      </c>
      <c r="C76" s="46">
        <f>SUM(C40,C74)</f>
        <v>10336410</v>
      </c>
      <c r="D76" s="46">
        <f>SUM(D40,D74)</f>
        <v>11195192</v>
      </c>
      <c r="E76" s="103" t="s">
        <v>281</v>
      </c>
      <c r="F76" s="47">
        <f>SUM(F40,F74)</f>
        <v>8963361</v>
      </c>
      <c r="G76" s="47">
        <f>SUM(G40,G74)</f>
        <v>10336410</v>
      </c>
      <c r="H76" s="47">
        <f>SUM(H40,H74)</f>
        <v>11195192</v>
      </c>
    </row>
    <row r="78" spans="1:5" ht="15">
      <c r="A78" s="176"/>
      <c r="B78" s="177"/>
      <c r="C78" s="177"/>
      <c r="D78" s="177"/>
      <c r="E78" s="175"/>
    </row>
  </sheetData>
  <sheetProtection selectLockedCells="1" selectUnlockedCells="1"/>
  <mergeCells count="6">
    <mergeCell ref="A43:F43"/>
    <mergeCell ref="A1:F1"/>
    <mergeCell ref="A3:B3"/>
    <mergeCell ref="E3:F3"/>
    <mergeCell ref="A45:B45"/>
    <mergeCell ref="E45:F45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48" r:id="rId1"/>
  <headerFooter alignWithMargins="0">
    <oddHeader>&amp;L2. melléklet a 28/2015.(XII.18.)   önkormányzati rendelethez
2. melléklet az 1/2015.(I.30.)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="71" zoomScaleNormal="78" zoomScaleSheetLayoutView="71" workbookViewId="0" topLeftCell="A1">
      <selection activeCell="P61" sqref="P61"/>
    </sheetView>
  </sheetViews>
  <sheetFormatPr defaultColWidth="9.00390625" defaultRowHeight="12.75"/>
  <cols>
    <col min="1" max="1" width="86.75390625" style="138" customWidth="1"/>
    <col min="2" max="2" width="19.75390625" style="138" customWidth="1"/>
    <col min="3" max="4" width="16.625" style="138" customWidth="1"/>
    <col min="5" max="5" width="19.75390625" style="138" customWidth="1"/>
    <col min="6" max="7" width="17.125" style="138" customWidth="1"/>
    <col min="8" max="8" width="19.75390625" style="138" customWidth="1"/>
    <col min="9" max="10" width="18.00390625" style="138" customWidth="1"/>
    <col min="11" max="14" width="19.75390625" style="138" customWidth="1"/>
    <col min="15" max="15" width="18.625" style="138" customWidth="1"/>
    <col min="16" max="16" width="16.125" style="138" customWidth="1"/>
    <col min="17" max="16384" width="9.125" style="138" customWidth="1"/>
  </cols>
  <sheetData>
    <row r="1" ht="15.75">
      <c r="A1" s="140"/>
    </row>
    <row r="2" spans="1:14" ht="15.75">
      <c r="A2" s="1158" t="s">
        <v>232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</row>
    <row r="3" ht="16.5" thickBot="1"/>
    <row r="4" spans="1:16" ht="45" customHeight="1">
      <c r="A4" s="1155" t="s">
        <v>594</v>
      </c>
      <c r="B4" s="1153" t="s">
        <v>5</v>
      </c>
      <c r="C4" s="1154"/>
      <c r="D4" s="1160"/>
      <c r="E4" s="1153" t="s">
        <v>12</v>
      </c>
      <c r="F4" s="1154"/>
      <c r="G4" s="1160"/>
      <c r="H4" s="1153" t="s">
        <v>565</v>
      </c>
      <c r="I4" s="1154"/>
      <c r="J4" s="1160"/>
      <c r="K4" s="1153" t="s">
        <v>14</v>
      </c>
      <c r="L4" s="1154"/>
      <c r="M4" s="1154"/>
      <c r="N4" s="1155" t="s">
        <v>260</v>
      </c>
      <c r="O4" s="1156"/>
      <c r="P4" s="1157"/>
    </row>
    <row r="5" spans="1:16" ht="18.75" customHeight="1">
      <c r="A5" s="1159"/>
      <c r="B5" s="151" t="s">
        <v>4</v>
      </c>
      <c r="C5" s="225" t="s">
        <v>733</v>
      </c>
      <c r="D5" s="225" t="s">
        <v>799</v>
      </c>
      <c r="E5" s="151" t="s">
        <v>4</v>
      </c>
      <c r="F5" s="225" t="s">
        <v>733</v>
      </c>
      <c r="G5" s="225" t="s">
        <v>799</v>
      </c>
      <c r="H5" s="151" t="s">
        <v>4</v>
      </c>
      <c r="I5" s="225" t="s">
        <v>733</v>
      </c>
      <c r="J5" s="225" t="s">
        <v>799</v>
      </c>
      <c r="K5" s="151" t="s">
        <v>4</v>
      </c>
      <c r="L5" s="480" t="s">
        <v>733</v>
      </c>
      <c r="M5" s="480" t="s">
        <v>799</v>
      </c>
      <c r="N5" s="590" t="s">
        <v>630</v>
      </c>
      <c r="O5" s="766" t="s">
        <v>733</v>
      </c>
      <c r="P5" s="226" t="s">
        <v>799</v>
      </c>
    </row>
    <row r="6" spans="1:16" s="140" customFormat="1" ht="18" customHeight="1">
      <c r="A6" s="152" t="s">
        <v>595</v>
      </c>
      <c r="B6" s="153">
        <f aca="true" t="shared" si="0" ref="B6:L6">SUM(B7:B7)</f>
        <v>1107179</v>
      </c>
      <c r="C6" s="153">
        <f>SUM(C7:C9)</f>
        <v>1164464</v>
      </c>
      <c r="D6" s="153">
        <f>SUM(D7:D9)</f>
        <v>1178198</v>
      </c>
      <c r="E6" s="153">
        <f t="shared" si="0"/>
        <v>0</v>
      </c>
      <c r="F6" s="153">
        <f t="shared" si="0"/>
        <v>0</v>
      </c>
      <c r="G6" s="153"/>
      <c r="H6" s="153">
        <f t="shared" si="0"/>
        <v>0</v>
      </c>
      <c r="I6" s="153">
        <f t="shared" si="0"/>
        <v>0</v>
      </c>
      <c r="J6" s="153"/>
      <c r="K6" s="153">
        <f t="shared" si="0"/>
        <v>0</v>
      </c>
      <c r="L6" s="570">
        <f t="shared" si="0"/>
        <v>0</v>
      </c>
      <c r="M6" s="570">
        <v>0</v>
      </c>
      <c r="N6" s="591">
        <f>SUM(B6+E6+H6+K6)</f>
        <v>1107179</v>
      </c>
      <c r="O6" s="153">
        <f>SUM(C6+F6+I6+L6)</f>
        <v>1164464</v>
      </c>
      <c r="P6" s="767">
        <f>SUM(D6+G6+J6+M6)</f>
        <v>1178198</v>
      </c>
    </row>
    <row r="7" spans="1:16" s="157" customFormat="1" ht="18" customHeight="1">
      <c r="A7" s="155" t="s">
        <v>596</v>
      </c>
      <c r="B7" s="154">
        <v>1107179</v>
      </c>
      <c r="C7" s="154">
        <v>1130285</v>
      </c>
      <c r="D7" s="154">
        <v>1140761</v>
      </c>
      <c r="E7" s="156"/>
      <c r="F7" s="156"/>
      <c r="G7" s="156"/>
      <c r="H7" s="156"/>
      <c r="I7" s="156"/>
      <c r="J7" s="156"/>
      <c r="K7" s="156"/>
      <c r="L7" s="217"/>
      <c r="M7" s="217"/>
      <c r="N7" s="591">
        <f>SUM(B7+E7+H7+K7)</f>
        <v>1107179</v>
      </c>
      <c r="O7" s="153">
        <f>SUM(C7+F7+I7+L7)</f>
        <v>1130285</v>
      </c>
      <c r="P7" s="767">
        <f aca="true" t="shared" si="1" ref="P7:P61">SUM(D7+G7+J7+M7)</f>
        <v>1140761</v>
      </c>
    </row>
    <row r="8" spans="1:16" s="157" customFormat="1" ht="18" customHeight="1">
      <c r="A8" s="155" t="s">
        <v>754</v>
      </c>
      <c r="B8" s="154"/>
      <c r="C8" s="154">
        <v>4841</v>
      </c>
      <c r="D8" s="154">
        <v>4841</v>
      </c>
      <c r="E8" s="156"/>
      <c r="F8" s="156"/>
      <c r="G8" s="156"/>
      <c r="H8" s="156"/>
      <c r="I8" s="156"/>
      <c r="J8" s="156"/>
      <c r="K8" s="156"/>
      <c r="L8" s="217"/>
      <c r="M8" s="217"/>
      <c r="N8" s="591"/>
      <c r="O8" s="153">
        <f aca="true" t="shared" si="2" ref="O8:O40">SUM(C8+F8+I8+L8)</f>
        <v>4841</v>
      </c>
      <c r="P8" s="767">
        <f t="shared" si="1"/>
        <v>4841</v>
      </c>
    </row>
    <row r="9" spans="1:16" s="157" customFormat="1" ht="18" customHeight="1">
      <c r="A9" s="155" t="s">
        <v>694</v>
      </c>
      <c r="B9" s="154"/>
      <c r="C9" s="154">
        <v>29338</v>
      </c>
      <c r="D9" s="154">
        <v>32596</v>
      </c>
      <c r="E9" s="156"/>
      <c r="F9" s="156"/>
      <c r="G9" s="156"/>
      <c r="H9" s="156"/>
      <c r="I9" s="156"/>
      <c r="J9" s="156"/>
      <c r="K9" s="156"/>
      <c r="L9" s="217"/>
      <c r="M9" s="217"/>
      <c r="N9" s="591"/>
      <c r="O9" s="153">
        <f t="shared" si="2"/>
        <v>29338</v>
      </c>
      <c r="P9" s="767">
        <f t="shared" si="1"/>
        <v>32596</v>
      </c>
    </row>
    <row r="10" spans="1:16" ht="18" customHeight="1">
      <c r="A10" s="158" t="s">
        <v>699</v>
      </c>
      <c r="B10" s="153">
        <f aca="true" t="shared" si="3" ref="B10:L10">SUM(B11:B12)</f>
        <v>279487</v>
      </c>
      <c r="C10" s="153">
        <f t="shared" si="3"/>
        <v>354420</v>
      </c>
      <c r="D10" s="153">
        <f>SUM(D11:D13)</f>
        <v>452544</v>
      </c>
      <c r="E10" s="153">
        <f t="shared" si="3"/>
        <v>20163</v>
      </c>
      <c r="F10" s="153">
        <f t="shared" si="3"/>
        <v>20637</v>
      </c>
      <c r="G10" s="153">
        <f t="shared" si="3"/>
        <v>27833</v>
      </c>
      <c r="H10" s="153">
        <f t="shared" si="3"/>
        <v>110310</v>
      </c>
      <c r="I10" s="153">
        <f t="shared" si="3"/>
        <v>123225</v>
      </c>
      <c r="J10" s="153">
        <f t="shared" si="3"/>
        <v>123225</v>
      </c>
      <c r="K10" s="153">
        <f t="shared" si="3"/>
        <v>11200</v>
      </c>
      <c r="L10" s="570">
        <f t="shared" si="3"/>
        <v>0</v>
      </c>
      <c r="M10" s="570">
        <v>0</v>
      </c>
      <c r="N10" s="591">
        <f aca="true" t="shared" si="4" ref="N10:N16">SUM(B10+E10+H10+K10)</f>
        <v>421160</v>
      </c>
      <c r="O10" s="153">
        <f t="shared" si="2"/>
        <v>498282</v>
      </c>
      <c r="P10" s="767">
        <f t="shared" si="1"/>
        <v>603602</v>
      </c>
    </row>
    <row r="11" spans="1:16" ht="18" customHeight="1">
      <c r="A11" s="155" t="s">
        <v>598</v>
      </c>
      <c r="B11" s="154">
        <v>107209</v>
      </c>
      <c r="C11" s="154">
        <v>10000</v>
      </c>
      <c r="D11" s="154">
        <v>6635</v>
      </c>
      <c r="E11" s="154"/>
      <c r="F11" s="154"/>
      <c r="G11" s="154"/>
      <c r="H11" s="154"/>
      <c r="I11" s="154"/>
      <c r="J11" s="154"/>
      <c r="K11" s="154"/>
      <c r="L11" s="218"/>
      <c r="M11" s="218"/>
      <c r="N11" s="591">
        <f t="shared" si="4"/>
        <v>107209</v>
      </c>
      <c r="O11" s="153">
        <f t="shared" si="2"/>
        <v>10000</v>
      </c>
      <c r="P11" s="767">
        <f t="shared" si="1"/>
        <v>6635</v>
      </c>
    </row>
    <row r="12" spans="1:16" ht="18" customHeight="1">
      <c r="A12" s="155" t="s">
        <v>599</v>
      </c>
      <c r="B12" s="154">
        <v>172278</v>
      </c>
      <c r="C12" s="154">
        <v>344420</v>
      </c>
      <c r="D12" s="154">
        <v>415909</v>
      </c>
      <c r="E12" s="154">
        <v>20163</v>
      </c>
      <c r="F12" s="154">
        <v>20637</v>
      </c>
      <c r="G12" s="154">
        <v>27833</v>
      </c>
      <c r="H12" s="154">
        <v>110310</v>
      </c>
      <c r="I12" s="154">
        <v>123225</v>
      </c>
      <c r="J12" s="154">
        <v>123225</v>
      </c>
      <c r="K12" s="154">
        <v>11200</v>
      </c>
      <c r="L12" s="218">
        <v>0</v>
      </c>
      <c r="M12" s="218">
        <v>0</v>
      </c>
      <c r="N12" s="591">
        <f t="shared" si="4"/>
        <v>313951</v>
      </c>
      <c r="O12" s="153">
        <f t="shared" si="2"/>
        <v>488282</v>
      </c>
      <c r="P12" s="767">
        <f t="shared" si="1"/>
        <v>566967</v>
      </c>
    </row>
    <row r="13" spans="1:16" ht="18" customHeight="1">
      <c r="A13" s="155" t="s">
        <v>881</v>
      </c>
      <c r="B13" s="154"/>
      <c r="C13" s="154"/>
      <c r="D13" s="154">
        <v>30000</v>
      </c>
      <c r="E13" s="154"/>
      <c r="F13" s="154"/>
      <c r="G13" s="154"/>
      <c r="H13" s="154"/>
      <c r="I13" s="154"/>
      <c r="J13" s="154"/>
      <c r="K13" s="154"/>
      <c r="L13" s="218"/>
      <c r="M13" s="218"/>
      <c r="N13" s="591"/>
      <c r="O13" s="153"/>
      <c r="P13" s="767">
        <f t="shared" si="1"/>
        <v>30000</v>
      </c>
    </row>
    <row r="14" spans="1:16" s="157" customFormat="1" ht="18" customHeight="1">
      <c r="A14" s="159" t="s">
        <v>700</v>
      </c>
      <c r="B14" s="153">
        <f aca="true" t="shared" si="5" ref="B14:L14">SUM(B15:B16)</f>
        <v>1589994</v>
      </c>
      <c r="C14" s="153">
        <f>SUM(C15:C16)</f>
        <v>1447916</v>
      </c>
      <c r="D14" s="153">
        <f>SUM(D15:D16)</f>
        <v>1344464</v>
      </c>
      <c r="E14" s="153">
        <f t="shared" si="5"/>
        <v>15925</v>
      </c>
      <c r="F14" s="153">
        <f t="shared" si="5"/>
        <v>14935</v>
      </c>
      <c r="G14" s="153">
        <f t="shared" si="5"/>
        <v>8657</v>
      </c>
      <c r="H14" s="153">
        <f t="shared" si="5"/>
        <v>900</v>
      </c>
      <c r="I14" s="153">
        <f t="shared" si="5"/>
        <v>0</v>
      </c>
      <c r="J14" s="153">
        <f t="shared" si="5"/>
        <v>6000</v>
      </c>
      <c r="K14" s="153">
        <f t="shared" si="5"/>
        <v>0</v>
      </c>
      <c r="L14" s="570">
        <f t="shared" si="5"/>
        <v>0</v>
      </c>
      <c r="M14" s="570">
        <v>0</v>
      </c>
      <c r="N14" s="591">
        <f t="shared" si="4"/>
        <v>1606819</v>
      </c>
      <c r="O14" s="153">
        <f t="shared" si="2"/>
        <v>1462851</v>
      </c>
      <c r="P14" s="767">
        <f t="shared" si="1"/>
        <v>1359121</v>
      </c>
    </row>
    <row r="15" spans="1:16" s="161" customFormat="1" ht="18" customHeight="1">
      <c r="A15" s="155" t="s">
        <v>598</v>
      </c>
      <c r="B15" s="154">
        <v>1300</v>
      </c>
      <c r="C15" s="154">
        <v>380</v>
      </c>
      <c r="D15" s="154">
        <v>380</v>
      </c>
      <c r="E15" s="154">
        <v>990</v>
      </c>
      <c r="F15" s="154">
        <v>0</v>
      </c>
      <c r="G15" s="154">
        <v>0</v>
      </c>
      <c r="H15" s="160"/>
      <c r="I15" s="160"/>
      <c r="J15" s="160"/>
      <c r="K15" s="160"/>
      <c r="L15" s="219"/>
      <c r="M15" s="219"/>
      <c r="N15" s="591">
        <f t="shared" si="4"/>
        <v>2290</v>
      </c>
      <c r="O15" s="153">
        <f t="shared" si="2"/>
        <v>380</v>
      </c>
      <c r="P15" s="767">
        <f t="shared" si="1"/>
        <v>380</v>
      </c>
    </row>
    <row r="16" spans="1:16" s="161" customFormat="1" ht="18" customHeight="1">
      <c r="A16" s="155" t="s">
        <v>599</v>
      </c>
      <c r="B16" s="154">
        <v>1588694</v>
      </c>
      <c r="C16" s="154">
        <v>1447536</v>
      </c>
      <c r="D16" s="154">
        <v>1344084</v>
      </c>
      <c r="E16" s="154">
        <v>14935</v>
      </c>
      <c r="F16" s="154">
        <v>14935</v>
      </c>
      <c r="G16" s="154">
        <v>8657</v>
      </c>
      <c r="H16" s="160">
        <v>900</v>
      </c>
      <c r="I16" s="160">
        <v>0</v>
      </c>
      <c r="J16" s="160">
        <v>6000</v>
      </c>
      <c r="K16" s="160"/>
      <c r="L16" s="219"/>
      <c r="M16" s="219"/>
      <c r="N16" s="591">
        <f t="shared" si="4"/>
        <v>1604529</v>
      </c>
      <c r="O16" s="153">
        <f t="shared" si="2"/>
        <v>1462471</v>
      </c>
      <c r="P16" s="767">
        <f t="shared" si="1"/>
        <v>1358741</v>
      </c>
    </row>
    <row r="17" spans="1:16" s="161" customFormat="1" ht="18" customHeight="1">
      <c r="A17" s="159" t="s">
        <v>693</v>
      </c>
      <c r="B17" s="154"/>
      <c r="C17" s="153">
        <f>SUM(C18:C19)</f>
        <v>2908</v>
      </c>
      <c r="D17" s="153">
        <f>SUM(D18:D19)</f>
        <v>7581</v>
      </c>
      <c r="E17" s="154"/>
      <c r="F17" s="154"/>
      <c r="G17" s="154"/>
      <c r="H17" s="160"/>
      <c r="I17" s="160"/>
      <c r="J17" s="160"/>
      <c r="K17" s="160"/>
      <c r="L17" s="219"/>
      <c r="M17" s="219"/>
      <c r="N17" s="591"/>
      <c r="O17" s="153">
        <f t="shared" si="2"/>
        <v>2908</v>
      </c>
      <c r="P17" s="767">
        <f t="shared" si="1"/>
        <v>7581</v>
      </c>
    </row>
    <row r="18" spans="1:16" s="161" customFormat="1" ht="18" customHeight="1">
      <c r="A18" s="155" t="s">
        <v>694</v>
      </c>
      <c r="B18" s="154"/>
      <c r="C18" s="154">
        <v>1</v>
      </c>
      <c r="D18" s="154">
        <v>4674</v>
      </c>
      <c r="E18" s="154"/>
      <c r="F18" s="154"/>
      <c r="G18" s="154"/>
      <c r="H18" s="160"/>
      <c r="I18" s="160"/>
      <c r="J18" s="160"/>
      <c r="K18" s="160"/>
      <c r="L18" s="219"/>
      <c r="M18" s="219"/>
      <c r="N18" s="591"/>
      <c r="O18" s="153">
        <f t="shared" si="2"/>
        <v>1</v>
      </c>
      <c r="P18" s="767">
        <f t="shared" si="1"/>
        <v>4674</v>
      </c>
    </row>
    <row r="19" spans="1:16" s="161" customFormat="1" ht="18" customHeight="1">
      <c r="A19" s="155" t="s">
        <v>755</v>
      </c>
      <c r="B19" s="154"/>
      <c r="C19" s="154">
        <v>2907</v>
      </c>
      <c r="D19" s="154">
        <v>2907</v>
      </c>
      <c r="E19" s="154"/>
      <c r="F19" s="154"/>
      <c r="G19" s="154"/>
      <c r="H19" s="160"/>
      <c r="I19" s="160"/>
      <c r="J19" s="160"/>
      <c r="K19" s="160"/>
      <c r="L19" s="219"/>
      <c r="M19" s="219"/>
      <c r="N19" s="591"/>
      <c r="O19" s="153">
        <f t="shared" si="2"/>
        <v>2907</v>
      </c>
      <c r="P19" s="767">
        <f t="shared" si="1"/>
        <v>2907</v>
      </c>
    </row>
    <row r="20" spans="1:16" s="161" customFormat="1" ht="18" customHeight="1">
      <c r="A20" s="159" t="s">
        <v>608</v>
      </c>
      <c r="B20" s="153">
        <f>SUM(B21+B24+B29+B30)</f>
        <v>1918951</v>
      </c>
      <c r="C20" s="153">
        <f>SUM(C21+C24+C29+C30)</f>
        <v>1918981</v>
      </c>
      <c r="D20" s="153">
        <f>SUM(D21+D24+D29+D30)</f>
        <v>1942723</v>
      </c>
      <c r="E20" s="153">
        <f aca="true" t="shared" si="6" ref="E20:L20">SUM(E21+E24+E29+E30)</f>
        <v>0</v>
      </c>
      <c r="F20" s="153">
        <f t="shared" si="6"/>
        <v>0</v>
      </c>
      <c r="G20" s="153">
        <f t="shared" si="6"/>
        <v>0</v>
      </c>
      <c r="H20" s="153">
        <f t="shared" si="6"/>
        <v>0</v>
      </c>
      <c r="I20" s="153">
        <f t="shared" si="6"/>
        <v>0</v>
      </c>
      <c r="J20" s="153">
        <v>0</v>
      </c>
      <c r="K20" s="153">
        <f t="shared" si="6"/>
        <v>0</v>
      </c>
      <c r="L20" s="570">
        <f t="shared" si="6"/>
        <v>0</v>
      </c>
      <c r="M20" s="570">
        <v>0</v>
      </c>
      <c r="N20" s="591">
        <f aca="true" t="shared" si="7" ref="N20:N42">SUM(B20+E20+H20+K20)</f>
        <v>1918951</v>
      </c>
      <c r="O20" s="153">
        <f t="shared" si="2"/>
        <v>1918981</v>
      </c>
      <c r="P20" s="767">
        <f t="shared" si="1"/>
        <v>1942723</v>
      </c>
    </row>
    <row r="21" spans="1:16" s="161" customFormat="1" ht="18" customHeight="1">
      <c r="A21" s="155" t="s">
        <v>609</v>
      </c>
      <c r="B21" s="162">
        <f>SUM(B22:B23)</f>
        <v>430000</v>
      </c>
      <c r="C21" s="162">
        <f>SUM(C22:C23)</f>
        <v>430000</v>
      </c>
      <c r="D21" s="162">
        <f>SUM(D22:D23)</f>
        <v>439000</v>
      </c>
      <c r="E21" s="163"/>
      <c r="F21" s="163"/>
      <c r="G21" s="163"/>
      <c r="H21" s="163"/>
      <c r="I21" s="163"/>
      <c r="J21" s="163"/>
      <c r="K21" s="163"/>
      <c r="L21" s="220"/>
      <c r="M21" s="220"/>
      <c r="N21" s="591">
        <f t="shared" si="7"/>
        <v>430000</v>
      </c>
      <c r="O21" s="153">
        <f t="shared" si="2"/>
        <v>430000</v>
      </c>
      <c r="P21" s="767">
        <f t="shared" si="1"/>
        <v>439000</v>
      </c>
    </row>
    <row r="22" spans="1:16" s="161" customFormat="1" ht="18" customHeight="1">
      <c r="A22" s="164" t="s">
        <v>610</v>
      </c>
      <c r="B22" s="160">
        <v>320000</v>
      </c>
      <c r="C22" s="160">
        <v>320000</v>
      </c>
      <c r="D22" s="160">
        <v>320000</v>
      </c>
      <c r="E22" s="160"/>
      <c r="F22" s="160"/>
      <c r="G22" s="160"/>
      <c r="H22" s="160"/>
      <c r="I22" s="160"/>
      <c r="J22" s="160"/>
      <c r="K22" s="160"/>
      <c r="L22" s="219"/>
      <c r="M22" s="219"/>
      <c r="N22" s="591">
        <f t="shared" si="7"/>
        <v>320000</v>
      </c>
      <c r="O22" s="153">
        <f t="shared" si="2"/>
        <v>320000</v>
      </c>
      <c r="P22" s="767">
        <f t="shared" si="1"/>
        <v>320000</v>
      </c>
    </row>
    <row r="23" spans="1:16" s="161" customFormat="1" ht="18" customHeight="1">
      <c r="A23" s="165" t="s">
        <v>611</v>
      </c>
      <c r="B23" s="163">
        <v>110000</v>
      </c>
      <c r="C23" s="163">
        <v>110000</v>
      </c>
      <c r="D23" s="163">
        <v>119000</v>
      </c>
      <c r="E23" s="163"/>
      <c r="F23" s="163"/>
      <c r="G23" s="163"/>
      <c r="H23" s="163"/>
      <c r="I23" s="163"/>
      <c r="J23" s="163"/>
      <c r="K23" s="163"/>
      <c r="L23" s="220"/>
      <c r="M23" s="220"/>
      <c r="N23" s="591">
        <f t="shared" si="7"/>
        <v>110000</v>
      </c>
      <c r="O23" s="153">
        <f t="shared" si="2"/>
        <v>110000</v>
      </c>
      <c r="P23" s="767">
        <f t="shared" si="1"/>
        <v>119000</v>
      </c>
    </row>
    <row r="24" spans="1:16" s="161" customFormat="1" ht="18" customHeight="1">
      <c r="A24" s="155" t="s">
        <v>34</v>
      </c>
      <c r="B24" s="162">
        <f>SUM(B25:B28)</f>
        <v>1468951</v>
      </c>
      <c r="C24" s="162">
        <f>SUM(C25:C28)</f>
        <v>1468951</v>
      </c>
      <c r="D24" s="162">
        <f>SUM(D25:D28)</f>
        <v>1492693</v>
      </c>
      <c r="E24" s="163"/>
      <c r="F24" s="163"/>
      <c r="G24" s="163"/>
      <c r="H24" s="163"/>
      <c r="I24" s="163"/>
      <c r="J24" s="163"/>
      <c r="K24" s="163"/>
      <c r="L24" s="220"/>
      <c r="M24" s="220"/>
      <c r="N24" s="591">
        <f t="shared" si="7"/>
        <v>1468951</v>
      </c>
      <c r="O24" s="153">
        <f t="shared" si="2"/>
        <v>1468951</v>
      </c>
      <c r="P24" s="767">
        <f t="shared" si="1"/>
        <v>1492693</v>
      </c>
    </row>
    <row r="25" spans="1:16" s="161" customFormat="1" ht="18" customHeight="1">
      <c r="A25" s="164" t="s">
        <v>613</v>
      </c>
      <c r="B25" s="163">
        <v>1318951</v>
      </c>
      <c r="C25" s="163">
        <v>1318951</v>
      </c>
      <c r="D25" s="163">
        <v>1342693</v>
      </c>
      <c r="E25" s="163"/>
      <c r="F25" s="163"/>
      <c r="G25" s="163"/>
      <c r="H25" s="163"/>
      <c r="I25" s="163"/>
      <c r="J25" s="163"/>
      <c r="K25" s="163"/>
      <c r="L25" s="220"/>
      <c r="M25" s="220"/>
      <c r="N25" s="591">
        <f t="shared" si="7"/>
        <v>1318951</v>
      </c>
      <c r="O25" s="153">
        <f t="shared" si="2"/>
        <v>1318951</v>
      </c>
      <c r="P25" s="767">
        <f t="shared" si="1"/>
        <v>1342693</v>
      </c>
    </row>
    <row r="26" spans="1:16" s="161" customFormat="1" ht="18" customHeight="1">
      <c r="A26" s="164" t="s">
        <v>614</v>
      </c>
      <c r="B26" s="163">
        <v>110000</v>
      </c>
      <c r="C26" s="163">
        <v>110000</v>
      </c>
      <c r="D26" s="163">
        <v>110000</v>
      </c>
      <c r="E26" s="163"/>
      <c r="F26" s="163"/>
      <c r="G26" s="163"/>
      <c r="H26" s="163"/>
      <c r="I26" s="163"/>
      <c r="J26" s="163"/>
      <c r="K26" s="163"/>
      <c r="L26" s="220"/>
      <c r="M26" s="220"/>
      <c r="N26" s="591">
        <f t="shared" si="7"/>
        <v>110000</v>
      </c>
      <c r="O26" s="153">
        <f t="shared" si="2"/>
        <v>110000</v>
      </c>
      <c r="P26" s="767">
        <f t="shared" si="1"/>
        <v>110000</v>
      </c>
    </row>
    <row r="27" spans="1:16" s="161" customFormat="1" ht="18" customHeight="1">
      <c r="A27" s="164" t="s">
        <v>612</v>
      </c>
      <c r="B27" s="163">
        <v>35000</v>
      </c>
      <c r="C27" s="163">
        <v>35000</v>
      </c>
      <c r="D27" s="163">
        <v>35000</v>
      </c>
      <c r="E27" s="163"/>
      <c r="F27" s="163"/>
      <c r="G27" s="163"/>
      <c r="H27" s="163"/>
      <c r="I27" s="163"/>
      <c r="J27" s="163"/>
      <c r="K27" s="163"/>
      <c r="L27" s="220"/>
      <c r="M27" s="220"/>
      <c r="N27" s="591">
        <f t="shared" si="7"/>
        <v>35000</v>
      </c>
      <c r="O27" s="153">
        <f t="shared" si="2"/>
        <v>35000</v>
      </c>
      <c r="P27" s="767">
        <f t="shared" si="1"/>
        <v>35000</v>
      </c>
    </row>
    <row r="28" spans="1:16" ht="18" customHeight="1">
      <c r="A28" s="164" t="s">
        <v>615</v>
      </c>
      <c r="B28" s="163">
        <v>5000</v>
      </c>
      <c r="C28" s="163">
        <v>5000</v>
      </c>
      <c r="D28" s="163">
        <v>5000</v>
      </c>
      <c r="E28" s="162"/>
      <c r="F28" s="162"/>
      <c r="G28" s="162"/>
      <c r="H28" s="162"/>
      <c r="I28" s="162"/>
      <c r="J28" s="162"/>
      <c r="K28" s="162"/>
      <c r="L28" s="221"/>
      <c r="M28" s="221"/>
      <c r="N28" s="591">
        <f t="shared" si="7"/>
        <v>5000</v>
      </c>
      <c r="O28" s="153">
        <f t="shared" si="2"/>
        <v>5000</v>
      </c>
      <c r="P28" s="767">
        <f t="shared" si="1"/>
        <v>5000</v>
      </c>
    </row>
    <row r="29" spans="1:16" s="161" customFormat="1" ht="18" customHeight="1">
      <c r="A29" s="166" t="s">
        <v>35</v>
      </c>
      <c r="B29" s="162">
        <v>19500</v>
      </c>
      <c r="C29" s="162">
        <v>19500</v>
      </c>
      <c r="D29" s="162">
        <v>10500</v>
      </c>
      <c r="E29" s="162"/>
      <c r="F29" s="162"/>
      <c r="G29" s="162"/>
      <c r="H29" s="162"/>
      <c r="I29" s="162"/>
      <c r="J29" s="162"/>
      <c r="K29" s="162"/>
      <c r="L29" s="221"/>
      <c r="M29" s="221"/>
      <c r="N29" s="591">
        <f t="shared" si="7"/>
        <v>19500</v>
      </c>
      <c r="O29" s="153">
        <f t="shared" si="2"/>
        <v>19500</v>
      </c>
      <c r="P29" s="767">
        <f t="shared" si="1"/>
        <v>10500</v>
      </c>
    </row>
    <row r="30" spans="1:16" s="161" customFormat="1" ht="18" customHeight="1">
      <c r="A30" s="166" t="s">
        <v>36</v>
      </c>
      <c r="B30" s="162">
        <v>500</v>
      </c>
      <c r="C30" s="162">
        <v>530</v>
      </c>
      <c r="D30" s="162">
        <v>530</v>
      </c>
      <c r="E30" s="137"/>
      <c r="F30" s="137"/>
      <c r="G30" s="137"/>
      <c r="H30" s="137"/>
      <c r="I30" s="137"/>
      <c r="J30" s="137"/>
      <c r="K30" s="137"/>
      <c r="L30" s="222"/>
      <c r="M30" s="222"/>
      <c r="N30" s="591">
        <f t="shared" si="7"/>
        <v>500</v>
      </c>
      <c r="O30" s="153">
        <f t="shared" si="2"/>
        <v>530</v>
      </c>
      <c r="P30" s="767">
        <f t="shared" si="1"/>
        <v>530</v>
      </c>
    </row>
    <row r="31" spans="1:16" ht="18" customHeight="1">
      <c r="A31" s="158" t="s">
        <v>616</v>
      </c>
      <c r="B31" s="137">
        <f aca="true" t="shared" si="8" ref="B31:L31">SUM(B32+B33+B34+B35+B37+B38+B39+B40)</f>
        <v>1000009</v>
      </c>
      <c r="C31" s="137">
        <f>SUM(C32+C33+C34+C35+C37+C38+C39+C40)</f>
        <v>998112</v>
      </c>
      <c r="D31" s="137">
        <f>SUM(D32+D33+D34+D35+D37+D38+D39+D40)</f>
        <v>949981</v>
      </c>
      <c r="E31" s="137">
        <f t="shared" si="8"/>
        <v>6125</v>
      </c>
      <c r="F31" s="137">
        <f t="shared" si="8"/>
        <v>8393</v>
      </c>
      <c r="G31" s="137">
        <f t="shared" si="8"/>
        <v>7338</v>
      </c>
      <c r="H31" s="137">
        <f t="shared" si="8"/>
        <v>191995</v>
      </c>
      <c r="I31" s="137">
        <f>SUM(I32+I33+I34+I35+I37+I38+I39+I40)</f>
        <v>242752</v>
      </c>
      <c r="J31" s="137">
        <f>SUM(J32+J33+J34+J35+J37+J38+J39+J40)</f>
        <v>243699</v>
      </c>
      <c r="K31" s="137">
        <f t="shared" si="8"/>
        <v>26480</v>
      </c>
      <c r="L31" s="222">
        <f t="shared" si="8"/>
        <v>0</v>
      </c>
      <c r="M31" s="222">
        <v>0</v>
      </c>
      <c r="N31" s="591">
        <f t="shared" si="7"/>
        <v>1224609</v>
      </c>
      <c r="O31" s="153">
        <f t="shared" si="2"/>
        <v>1249257</v>
      </c>
      <c r="P31" s="767">
        <f t="shared" si="1"/>
        <v>1201018</v>
      </c>
    </row>
    <row r="32" spans="1:16" ht="18" customHeight="1">
      <c r="A32" s="155" t="s">
        <v>186</v>
      </c>
      <c r="B32" s="162">
        <v>521842</v>
      </c>
      <c r="C32" s="162">
        <v>520520</v>
      </c>
      <c r="D32" s="162">
        <v>520520</v>
      </c>
      <c r="E32" s="162"/>
      <c r="F32" s="162"/>
      <c r="G32" s="162"/>
      <c r="H32" s="162"/>
      <c r="I32" s="162"/>
      <c r="J32" s="162"/>
      <c r="K32" s="162">
        <v>2000</v>
      </c>
      <c r="L32" s="221">
        <v>0</v>
      </c>
      <c r="M32" s="221">
        <v>0</v>
      </c>
      <c r="N32" s="591">
        <f t="shared" si="7"/>
        <v>523842</v>
      </c>
      <c r="O32" s="153">
        <f t="shared" si="2"/>
        <v>520520</v>
      </c>
      <c r="P32" s="767">
        <f t="shared" si="1"/>
        <v>520520</v>
      </c>
    </row>
    <row r="33" spans="1:16" ht="18" customHeight="1">
      <c r="A33" s="155" t="s">
        <v>510</v>
      </c>
      <c r="B33" s="162">
        <v>21082</v>
      </c>
      <c r="C33" s="162">
        <v>20327</v>
      </c>
      <c r="D33" s="162">
        <v>20658</v>
      </c>
      <c r="E33" s="162">
        <v>6125</v>
      </c>
      <c r="F33" s="162">
        <v>7125</v>
      </c>
      <c r="G33" s="162">
        <v>6060</v>
      </c>
      <c r="H33" s="162">
        <v>53055</v>
      </c>
      <c r="I33" s="162">
        <v>81787</v>
      </c>
      <c r="J33" s="162">
        <v>82258</v>
      </c>
      <c r="K33" s="162">
        <v>10378</v>
      </c>
      <c r="L33" s="221">
        <v>0</v>
      </c>
      <c r="M33" s="221">
        <v>0</v>
      </c>
      <c r="N33" s="591">
        <f t="shared" si="7"/>
        <v>90640</v>
      </c>
      <c r="O33" s="153">
        <f t="shared" si="2"/>
        <v>109239</v>
      </c>
      <c r="P33" s="767">
        <f t="shared" si="1"/>
        <v>108976</v>
      </c>
    </row>
    <row r="34" spans="1:16" ht="18" customHeight="1">
      <c r="A34" s="155" t="s">
        <v>37</v>
      </c>
      <c r="B34" s="162">
        <v>32100</v>
      </c>
      <c r="C34" s="162">
        <v>32100</v>
      </c>
      <c r="D34" s="162">
        <v>32100</v>
      </c>
      <c r="E34" s="162"/>
      <c r="F34" s="162">
        <v>964</v>
      </c>
      <c r="G34" s="162">
        <v>964</v>
      </c>
      <c r="H34" s="162"/>
      <c r="I34" s="162"/>
      <c r="J34" s="162"/>
      <c r="K34" s="162"/>
      <c r="L34" s="221"/>
      <c r="M34" s="221"/>
      <c r="N34" s="591">
        <f t="shared" si="7"/>
        <v>32100</v>
      </c>
      <c r="O34" s="153">
        <f t="shared" si="2"/>
        <v>33064</v>
      </c>
      <c r="P34" s="767">
        <f t="shared" si="1"/>
        <v>33064</v>
      </c>
    </row>
    <row r="35" spans="1:16" ht="18" customHeight="1">
      <c r="A35" s="155" t="s">
        <v>38</v>
      </c>
      <c r="B35" s="162">
        <v>101169</v>
      </c>
      <c r="C35" s="162">
        <v>101169</v>
      </c>
      <c r="D35" s="162">
        <v>108567</v>
      </c>
      <c r="E35" s="162"/>
      <c r="F35" s="162"/>
      <c r="G35" s="162"/>
      <c r="H35" s="162"/>
      <c r="I35" s="162"/>
      <c r="J35" s="162"/>
      <c r="K35" s="162"/>
      <c r="L35" s="221"/>
      <c r="M35" s="221"/>
      <c r="N35" s="591">
        <f t="shared" si="7"/>
        <v>101169</v>
      </c>
      <c r="O35" s="153">
        <f t="shared" si="2"/>
        <v>101169</v>
      </c>
      <c r="P35" s="767">
        <f t="shared" si="1"/>
        <v>108567</v>
      </c>
    </row>
    <row r="36" spans="1:16" ht="18" customHeight="1">
      <c r="A36" s="155" t="s">
        <v>617</v>
      </c>
      <c r="B36" s="162">
        <v>45000</v>
      </c>
      <c r="C36" s="162">
        <v>45000</v>
      </c>
      <c r="D36" s="162">
        <v>52398</v>
      </c>
      <c r="E36" s="162"/>
      <c r="F36" s="162"/>
      <c r="G36" s="162"/>
      <c r="H36" s="162"/>
      <c r="I36" s="162"/>
      <c r="J36" s="162"/>
      <c r="K36" s="162"/>
      <c r="L36" s="221"/>
      <c r="M36" s="221"/>
      <c r="N36" s="591">
        <f t="shared" si="7"/>
        <v>45000</v>
      </c>
      <c r="O36" s="153">
        <f t="shared" si="2"/>
        <v>45000</v>
      </c>
      <c r="P36" s="767">
        <f t="shared" si="1"/>
        <v>52398</v>
      </c>
    </row>
    <row r="37" spans="1:16" ht="18" customHeight="1">
      <c r="A37" s="155" t="s">
        <v>618</v>
      </c>
      <c r="B37" s="162"/>
      <c r="C37" s="162"/>
      <c r="D37" s="162"/>
      <c r="E37" s="162"/>
      <c r="F37" s="162"/>
      <c r="G37" s="162"/>
      <c r="H37" s="162">
        <v>92312</v>
      </c>
      <c r="I37" s="162">
        <v>94111</v>
      </c>
      <c r="J37" s="162">
        <v>94111</v>
      </c>
      <c r="K37" s="162"/>
      <c r="L37" s="221"/>
      <c r="M37" s="221"/>
      <c r="N37" s="591">
        <f t="shared" si="7"/>
        <v>92312</v>
      </c>
      <c r="O37" s="153">
        <f t="shared" si="2"/>
        <v>94111</v>
      </c>
      <c r="P37" s="767">
        <f t="shared" si="1"/>
        <v>94111</v>
      </c>
    </row>
    <row r="38" spans="1:16" ht="18" customHeight="1">
      <c r="A38" s="167" t="s">
        <v>153</v>
      </c>
      <c r="B38" s="162">
        <v>176746</v>
      </c>
      <c r="C38" s="162">
        <v>176923</v>
      </c>
      <c r="D38" s="162">
        <v>169932</v>
      </c>
      <c r="E38" s="162"/>
      <c r="F38" s="162"/>
      <c r="G38" s="162"/>
      <c r="H38" s="162">
        <v>46628</v>
      </c>
      <c r="I38" s="162">
        <v>66670</v>
      </c>
      <c r="J38" s="162">
        <v>67111</v>
      </c>
      <c r="K38" s="162">
        <v>14102</v>
      </c>
      <c r="L38" s="221">
        <v>0</v>
      </c>
      <c r="M38" s="221">
        <v>0</v>
      </c>
      <c r="N38" s="591">
        <f t="shared" si="7"/>
        <v>237476</v>
      </c>
      <c r="O38" s="153">
        <f t="shared" si="2"/>
        <v>243593</v>
      </c>
      <c r="P38" s="767">
        <f t="shared" si="1"/>
        <v>237043</v>
      </c>
    </row>
    <row r="39" spans="1:16" s="140" customFormat="1" ht="18" customHeight="1">
      <c r="A39" s="155" t="s">
        <v>619</v>
      </c>
      <c r="B39" s="162">
        <v>16766</v>
      </c>
      <c r="C39" s="162">
        <v>16766</v>
      </c>
      <c r="D39" s="162">
        <v>3500</v>
      </c>
      <c r="E39" s="137"/>
      <c r="F39" s="162">
        <v>50</v>
      </c>
      <c r="G39" s="162">
        <v>50</v>
      </c>
      <c r="H39" s="137"/>
      <c r="I39" s="162">
        <v>184</v>
      </c>
      <c r="J39" s="162">
        <v>219</v>
      </c>
      <c r="K39" s="137"/>
      <c r="L39" s="222"/>
      <c r="M39" s="222"/>
      <c r="N39" s="591">
        <f t="shared" si="7"/>
        <v>16766</v>
      </c>
      <c r="O39" s="153">
        <f t="shared" si="2"/>
        <v>17000</v>
      </c>
      <c r="P39" s="767">
        <f t="shared" si="1"/>
        <v>3769</v>
      </c>
    </row>
    <row r="40" spans="1:16" ht="18" customHeight="1">
      <c r="A40" s="155" t="s">
        <v>136</v>
      </c>
      <c r="B40" s="162">
        <v>130304</v>
      </c>
      <c r="C40" s="162">
        <v>130307</v>
      </c>
      <c r="D40" s="162">
        <v>94704</v>
      </c>
      <c r="E40" s="162"/>
      <c r="F40" s="162">
        <v>254</v>
      </c>
      <c r="G40" s="162">
        <v>264</v>
      </c>
      <c r="H40" s="162"/>
      <c r="I40" s="162"/>
      <c r="J40" s="162"/>
      <c r="K40" s="162"/>
      <c r="L40" s="221"/>
      <c r="M40" s="221"/>
      <c r="N40" s="591">
        <f t="shared" si="7"/>
        <v>130304</v>
      </c>
      <c r="O40" s="153">
        <f t="shared" si="2"/>
        <v>130561</v>
      </c>
      <c r="P40" s="767">
        <f t="shared" si="1"/>
        <v>94968</v>
      </c>
    </row>
    <row r="41" spans="1:16" ht="18" customHeight="1">
      <c r="A41" s="159" t="s">
        <v>620</v>
      </c>
      <c r="B41" s="137">
        <f>SUM(B42:B42)</f>
        <v>191090</v>
      </c>
      <c r="C41" s="137">
        <f>SUM(C42:C44)</f>
        <v>162348</v>
      </c>
      <c r="D41" s="137">
        <f>SUM(D42:D44)</f>
        <v>162348</v>
      </c>
      <c r="E41" s="137">
        <f>SUM(E42:E42)</f>
        <v>0</v>
      </c>
      <c r="F41" s="137">
        <f>SUM(F42:F42)</f>
        <v>0</v>
      </c>
      <c r="G41" s="137"/>
      <c r="H41" s="137">
        <f>SUM(H42:H42)</f>
        <v>0</v>
      </c>
      <c r="I41" s="137">
        <f>SUM(I42:I42)</f>
        <v>0</v>
      </c>
      <c r="J41" s="137"/>
      <c r="K41" s="137">
        <f>SUM(K42:K42)</f>
        <v>0</v>
      </c>
      <c r="L41" s="222">
        <f>SUM(L42:L42)</f>
        <v>0</v>
      </c>
      <c r="M41" s="222">
        <v>0</v>
      </c>
      <c r="N41" s="591">
        <f t="shared" si="7"/>
        <v>191090</v>
      </c>
      <c r="O41" s="153">
        <f aca="true" t="shared" si="9" ref="O41:O61">SUM(C41+F41+I41+L41)</f>
        <v>162348</v>
      </c>
      <c r="P41" s="767">
        <f t="shared" si="1"/>
        <v>162348</v>
      </c>
    </row>
    <row r="42" spans="1:16" s="140" customFormat="1" ht="18" customHeight="1">
      <c r="A42" s="155" t="s">
        <v>137</v>
      </c>
      <c r="B42" s="162">
        <v>191090</v>
      </c>
      <c r="C42" s="162">
        <v>162088</v>
      </c>
      <c r="D42" s="162">
        <v>162088</v>
      </c>
      <c r="E42" s="137"/>
      <c r="F42" s="137"/>
      <c r="G42" s="137"/>
      <c r="H42" s="137"/>
      <c r="I42" s="137"/>
      <c r="J42" s="137"/>
      <c r="K42" s="137"/>
      <c r="L42" s="222"/>
      <c r="M42" s="222"/>
      <c r="N42" s="591">
        <f t="shared" si="7"/>
        <v>191090</v>
      </c>
      <c r="O42" s="153">
        <f t="shared" si="9"/>
        <v>162088</v>
      </c>
      <c r="P42" s="767">
        <f t="shared" si="1"/>
        <v>162088</v>
      </c>
    </row>
    <row r="43" spans="1:16" s="140" customFormat="1" ht="18" customHeight="1">
      <c r="A43" s="155" t="s">
        <v>756</v>
      </c>
      <c r="B43" s="162"/>
      <c r="C43" s="162">
        <v>10</v>
      </c>
      <c r="D43" s="162">
        <v>10</v>
      </c>
      <c r="E43" s="137"/>
      <c r="F43" s="137"/>
      <c r="G43" s="137"/>
      <c r="H43" s="137"/>
      <c r="I43" s="137"/>
      <c r="J43" s="137"/>
      <c r="K43" s="137"/>
      <c r="L43" s="222"/>
      <c r="M43" s="222"/>
      <c r="N43" s="591"/>
      <c r="O43" s="153">
        <f t="shared" si="9"/>
        <v>10</v>
      </c>
      <c r="P43" s="767">
        <f t="shared" si="1"/>
        <v>10</v>
      </c>
    </row>
    <row r="44" spans="1:16" s="140" customFormat="1" ht="18" customHeight="1">
      <c r="A44" s="155" t="s">
        <v>757</v>
      </c>
      <c r="B44" s="162"/>
      <c r="C44" s="162">
        <v>250</v>
      </c>
      <c r="D44" s="162">
        <v>250</v>
      </c>
      <c r="E44" s="137"/>
      <c r="F44" s="137"/>
      <c r="G44" s="137"/>
      <c r="H44" s="137"/>
      <c r="I44" s="137"/>
      <c r="J44" s="137"/>
      <c r="K44" s="137"/>
      <c r="L44" s="222"/>
      <c r="M44" s="222"/>
      <c r="N44" s="591"/>
      <c r="O44" s="153">
        <f t="shared" si="9"/>
        <v>250</v>
      </c>
      <c r="P44" s="767">
        <f t="shared" si="1"/>
        <v>250</v>
      </c>
    </row>
    <row r="45" spans="1:16" s="140" customFormat="1" ht="18" customHeight="1">
      <c r="A45" s="159" t="s">
        <v>719</v>
      </c>
      <c r="B45" s="162"/>
      <c r="C45" s="137">
        <f>SUM(C46:C47)</f>
        <v>99008</v>
      </c>
      <c r="D45" s="137">
        <f>SUM(D46:D47)</f>
        <v>43249</v>
      </c>
      <c r="E45" s="137"/>
      <c r="F45" s="137"/>
      <c r="G45" s="137"/>
      <c r="H45" s="137"/>
      <c r="I45" s="137">
        <f>SUM(I46:I47)</f>
        <v>3900</v>
      </c>
      <c r="J45" s="137">
        <f>SUM(J46:J47)</f>
        <v>5508</v>
      </c>
      <c r="K45" s="137"/>
      <c r="L45" s="222"/>
      <c r="M45" s="222"/>
      <c r="N45" s="591"/>
      <c r="O45" s="153">
        <f t="shared" si="9"/>
        <v>102908</v>
      </c>
      <c r="P45" s="767">
        <f t="shared" si="1"/>
        <v>48757</v>
      </c>
    </row>
    <row r="46" spans="1:16" s="140" customFormat="1" ht="18" customHeight="1">
      <c r="A46" s="155" t="s">
        <v>598</v>
      </c>
      <c r="B46" s="162"/>
      <c r="C46" s="162">
        <v>96209</v>
      </c>
      <c r="D46" s="162">
        <v>38720</v>
      </c>
      <c r="E46" s="137"/>
      <c r="F46" s="137"/>
      <c r="G46" s="137"/>
      <c r="H46" s="137"/>
      <c r="I46" s="137"/>
      <c r="J46" s="137"/>
      <c r="K46" s="137"/>
      <c r="L46" s="222"/>
      <c r="M46" s="222"/>
      <c r="N46" s="591"/>
      <c r="O46" s="153">
        <f t="shared" si="9"/>
        <v>96209</v>
      </c>
      <c r="P46" s="767">
        <f t="shared" si="1"/>
        <v>38720</v>
      </c>
    </row>
    <row r="47" spans="1:16" s="140" customFormat="1" ht="18" customHeight="1">
      <c r="A47" s="155" t="s">
        <v>599</v>
      </c>
      <c r="B47" s="162"/>
      <c r="C47" s="162">
        <v>2799</v>
      </c>
      <c r="D47" s="162">
        <v>4529</v>
      </c>
      <c r="E47" s="137"/>
      <c r="F47" s="137"/>
      <c r="G47" s="137"/>
      <c r="H47" s="137"/>
      <c r="I47" s="162">
        <v>3900</v>
      </c>
      <c r="J47" s="162">
        <v>5508</v>
      </c>
      <c r="K47" s="137"/>
      <c r="L47" s="222"/>
      <c r="M47" s="222"/>
      <c r="N47" s="591"/>
      <c r="O47" s="153">
        <f t="shared" si="9"/>
        <v>6699</v>
      </c>
      <c r="P47" s="767">
        <f t="shared" si="1"/>
        <v>10037</v>
      </c>
    </row>
    <row r="48" spans="1:16" ht="18" customHeight="1">
      <c r="A48" s="169" t="s">
        <v>720</v>
      </c>
      <c r="B48" s="137">
        <f>SUM(B49:B49)</f>
        <v>28075</v>
      </c>
      <c r="C48" s="137">
        <f>SUM(C49:C51)</f>
        <v>60743</v>
      </c>
      <c r="D48" s="137">
        <f>SUM(D49:D51)</f>
        <v>33668</v>
      </c>
      <c r="E48" s="137">
        <f>SUM(E49:E49)</f>
        <v>0</v>
      </c>
      <c r="F48" s="137">
        <f>SUM(F49:F50)</f>
        <v>990</v>
      </c>
      <c r="G48" s="137">
        <f>SUM(G49:G50)</f>
        <v>990</v>
      </c>
      <c r="H48" s="137">
        <f>SUM(H49:H49)</f>
        <v>0</v>
      </c>
      <c r="I48" s="137">
        <f>SUM(I49:I51)</f>
        <v>1800</v>
      </c>
      <c r="J48" s="137">
        <f>SUM(J49:J51)</f>
        <v>1800</v>
      </c>
      <c r="K48" s="137">
        <f>SUM(K49:K49)</f>
        <v>0</v>
      </c>
      <c r="L48" s="222">
        <f>SUM(L49:L49)</f>
        <v>0</v>
      </c>
      <c r="M48" s="222">
        <v>0</v>
      </c>
      <c r="N48" s="591">
        <f>SUM(B48+E48+H48+K48)</f>
        <v>28075</v>
      </c>
      <c r="O48" s="153">
        <f t="shared" si="9"/>
        <v>63533</v>
      </c>
      <c r="P48" s="767">
        <f t="shared" si="1"/>
        <v>36458</v>
      </c>
    </row>
    <row r="49" spans="1:16" s="161" customFormat="1" ht="18" customHeight="1">
      <c r="A49" s="168" t="s">
        <v>39</v>
      </c>
      <c r="B49" s="162">
        <v>28075</v>
      </c>
      <c r="C49" s="162">
        <v>28075</v>
      </c>
      <c r="D49" s="162">
        <v>1000</v>
      </c>
      <c r="E49" s="163"/>
      <c r="F49" s="163"/>
      <c r="G49" s="163"/>
      <c r="H49" s="163"/>
      <c r="I49" s="163"/>
      <c r="J49" s="163"/>
      <c r="K49" s="163"/>
      <c r="L49" s="220"/>
      <c r="M49" s="220"/>
      <c r="N49" s="591">
        <f>SUM(B49+E49+H49+K49)</f>
        <v>28075</v>
      </c>
      <c r="O49" s="153">
        <f t="shared" si="9"/>
        <v>28075</v>
      </c>
      <c r="P49" s="767">
        <f t="shared" si="1"/>
        <v>1000</v>
      </c>
    </row>
    <row r="50" spans="1:16" s="161" customFormat="1" ht="18" customHeight="1">
      <c r="A50" s="168" t="s">
        <v>598</v>
      </c>
      <c r="B50" s="162"/>
      <c r="C50" s="162">
        <v>29706</v>
      </c>
      <c r="D50" s="162">
        <v>29706</v>
      </c>
      <c r="E50" s="163"/>
      <c r="F50" s="163">
        <v>990</v>
      </c>
      <c r="G50" s="163">
        <v>990</v>
      </c>
      <c r="H50" s="163"/>
      <c r="I50" s="163"/>
      <c r="J50" s="163"/>
      <c r="K50" s="163"/>
      <c r="L50" s="220"/>
      <c r="M50" s="220"/>
      <c r="N50" s="591"/>
      <c r="O50" s="153">
        <f t="shared" si="9"/>
        <v>30696</v>
      </c>
      <c r="P50" s="767">
        <f t="shared" si="1"/>
        <v>30696</v>
      </c>
    </row>
    <row r="51" spans="1:16" s="161" customFormat="1" ht="18" customHeight="1">
      <c r="A51" s="168" t="s">
        <v>599</v>
      </c>
      <c r="B51" s="162"/>
      <c r="C51" s="162">
        <v>2962</v>
      </c>
      <c r="D51" s="162">
        <v>2962</v>
      </c>
      <c r="E51" s="163"/>
      <c r="F51" s="163"/>
      <c r="G51" s="163"/>
      <c r="H51" s="163"/>
      <c r="I51" s="163">
        <v>1800</v>
      </c>
      <c r="J51" s="163">
        <v>1800</v>
      </c>
      <c r="K51" s="163"/>
      <c r="L51" s="220"/>
      <c r="M51" s="220"/>
      <c r="N51" s="591"/>
      <c r="O51" s="153">
        <f t="shared" si="9"/>
        <v>4762</v>
      </c>
      <c r="P51" s="767">
        <f t="shared" si="1"/>
        <v>4762</v>
      </c>
    </row>
    <row r="52" spans="1:16" s="161" customFormat="1" ht="18" customHeight="1">
      <c r="A52" s="169" t="s">
        <v>623</v>
      </c>
      <c r="B52" s="137">
        <f>SUM(B6+B10+B14+B20+B31+B41+B48)</f>
        <v>6114785</v>
      </c>
      <c r="C52" s="137">
        <f>SUM(C6+C10+C14+C20+C31+C41+C48+C45+C17)</f>
        <v>6208900</v>
      </c>
      <c r="D52" s="137">
        <f>SUM(D6+D10+D14+D20+D31+D41+D48+D45+D17)</f>
        <v>6114756</v>
      </c>
      <c r="E52" s="137">
        <f>SUM(E6+E10+E14+E20+E31+E41+E48)</f>
        <v>42213</v>
      </c>
      <c r="F52" s="137">
        <f>SUM(F6+F10+F14+F20+F31+F41+F48)</f>
        <v>44955</v>
      </c>
      <c r="G52" s="137">
        <f>SUM(G6+G10+G14+G20+G31+G41+G48)</f>
        <v>44818</v>
      </c>
      <c r="H52" s="137">
        <f>SUM(H6+H10+H14+H20+H31+H41+H48)</f>
        <v>303205</v>
      </c>
      <c r="I52" s="137">
        <f>SUM(I6+I10+I14+I20+I31+I41+I48+I50+I45)</f>
        <v>371677</v>
      </c>
      <c r="J52" s="137">
        <f>SUM(J6+J10+J14+J20+J31+J41+J48+J50+J45)</f>
        <v>380232</v>
      </c>
      <c r="K52" s="137">
        <f>SUM(K6+K10+K14+K20+K31+K41+K48)</f>
        <v>37680</v>
      </c>
      <c r="L52" s="222">
        <f>SUM(L6+L10+L14+L20+L31+L41+L48)</f>
        <v>0</v>
      </c>
      <c r="M52" s="222">
        <v>0</v>
      </c>
      <c r="N52" s="591">
        <f>SUM(B52+E52+H52+K52)</f>
        <v>6497883</v>
      </c>
      <c r="O52" s="153">
        <f t="shared" si="9"/>
        <v>6625532</v>
      </c>
      <c r="P52" s="767">
        <f t="shared" si="1"/>
        <v>6539806</v>
      </c>
    </row>
    <row r="53" spans="1:16" s="157" customFormat="1" ht="18" customHeight="1">
      <c r="A53" s="170" t="s">
        <v>659</v>
      </c>
      <c r="B53" s="137">
        <f aca="true" t="shared" si="10" ref="B53:K53">SUM(B54:B54)</f>
        <v>709262</v>
      </c>
      <c r="C53" s="137">
        <f>SUM(C54:C55)</f>
        <v>875656</v>
      </c>
      <c r="D53" s="137">
        <f>SUM(D54:D55)</f>
        <v>866750</v>
      </c>
      <c r="E53" s="137">
        <f t="shared" si="10"/>
        <v>0</v>
      </c>
      <c r="F53" s="137">
        <f t="shared" si="10"/>
        <v>0</v>
      </c>
      <c r="G53" s="137">
        <v>0</v>
      </c>
      <c r="H53" s="137">
        <f t="shared" si="10"/>
        <v>0</v>
      </c>
      <c r="I53" s="137">
        <f t="shared" si="10"/>
        <v>0</v>
      </c>
      <c r="J53" s="137"/>
      <c r="K53" s="137">
        <f t="shared" si="10"/>
        <v>0</v>
      </c>
      <c r="L53" s="222">
        <v>0</v>
      </c>
      <c r="M53" s="222">
        <v>0</v>
      </c>
      <c r="N53" s="591">
        <f>SUM(B53+E53+H53+K53)</f>
        <v>709262</v>
      </c>
      <c r="O53" s="153">
        <f t="shared" si="9"/>
        <v>875656</v>
      </c>
      <c r="P53" s="767">
        <f t="shared" si="1"/>
        <v>866750</v>
      </c>
    </row>
    <row r="54" spans="1:16" s="140" customFormat="1" ht="18" customHeight="1">
      <c r="A54" s="171" t="s">
        <v>661</v>
      </c>
      <c r="B54" s="162">
        <v>709262</v>
      </c>
      <c r="C54" s="162">
        <v>709262</v>
      </c>
      <c r="D54" s="162">
        <v>700356</v>
      </c>
      <c r="E54" s="137"/>
      <c r="F54" s="137"/>
      <c r="G54" s="137"/>
      <c r="H54" s="137"/>
      <c r="I54" s="137"/>
      <c r="J54" s="137"/>
      <c r="K54" s="137"/>
      <c r="L54" s="222"/>
      <c r="M54" s="222"/>
      <c r="N54" s="591">
        <f>SUM(B54+E54+H54+K54)</f>
        <v>709262</v>
      </c>
      <c r="O54" s="153">
        <f t="shared" si="9"/>
        <v>709262</v>
      </c>
      <c r="P54" s="767">
        <f t="shared" si="1"/>
        <v>700356</v>
      </c>
    </row>
    <row r="55" spans="1:16" s="140" customFormat="1" ht="18" customHeight="1">
      <c r="A55" s="37" t="s">
        <v>788</v>
      </c>
      <c r="B55" s="162"/>
      <c r="C55" s="38">
        <v>166394</v>
      </c>
      <c r="D55" s="38">
        <v>166394</v>
      </c>
      <c r="E55" s="137"/>
      <c r="F55" s="137"/>
      <c r="G55" s="137"/>
      <c r="H55" s="137"/>
      <c r="I55" s="137"/>
      <c r="J55" s="137"/>
      <c r="K55" s="137"/>
      <c r="L55" s="222"/>
      <c r="M55" s="222"/>
      <c r="N55" s="591"/>
      <c r="O55" s="153">
        <f t="shared" si="9"/>
        <v>166394</v>
      </c>
      <c r="P55" s="767">
        <f t="shared" si="1"/>
        <v>166394</v>
      </c>
    </row>
    <row r="56" spans="1:16" s="140" customFormat="1" ht="18" customHeight="1">
      <c r="A56" s="170" t="s">
        <v>758</v>
      </c>
      <c r="B56" s="162"/>
      <c r="C56" s="162">
        <v>560500</v>
      </c>
      <c r="D56" s="162">
        <v>679085</v>
      </c>
      <c r="E56" s="137"/>
      <c r="F56" s="137"/>
      <c r="G56" s="137"/>
      <c r="H56" s="137"/>
      <c r="I56" s="137"/>
      <c r="J56" s="137"/>
      <c r="K56" s="137"/>
      <c r="L56" s="222"/>
      <c r="M56" s="222"/>
      <c r="N56" s="591"/>
      <c r="O56" s="153">
        <f t="shared" si="9"/>
        <v>560500</v>
      </c>
      <c r="P56" s="767">
        <f t="shared" si="1"/>
        <v>679085</v>
      </c>
    </row>
    <row r="57" spans="1:16" ht="15.75">
      <c r="A57" s="169" t="s">
        <v>624</v>
      </c>
      <c r="B57" s="162">
        <v>100000</v>
      </c>
      <c r="C57" s="162">
        <v>81606</v>
      </c>
      <c r="D57" s="162">
        <v>81606</v>
      </c>
      <c r="E57" s="162"/>
      <c r="F57" s="162">
        <v>3010</v>
      </c>
      <c r="G57" s="162">
        <v>3010</v>
      </c>
      <c r="H57" s="162"/>
      <c r="I57" s="162">
        <v>68749</v>
      </c>
      <c r="J57" s="162">
        <v>68749</v>
      </c>
      <c r="K57" s="162"/>
      <c r="L57" s="221"/>
      <c r="M57" s="221"/>
      <c r="N57" s="591">
        <f>SUM(B57+E57+H57+K57)</f>
        <v>100000</v>
      </c>
      <c r="O57" s="153">
        <f t="shared" si="9"/>
        <v>153365</v>
      </c>
      <c r="P57" s="767">
        <f t="shared" si="1"/>
        <v>153365</v>
      </c>
    </row>
    <row r="58" spans="1:16" ht="15.75">
      <c r="A58" s="169" t="s">
        <v>625</v>
      </c>
      <c r="B58" s="162"/>
      <c r="C58" s="162"/>
      <c r="D58" s="162"/>
      <c r="E58" s="162">
        <v>658320</v>
      </c>
      <c r="F58" s="162">
        <v>681476</v>
      </c>
      <c r="G58" s="162">
        <v>685846</v>
      </c>
      <c r="H58" s="162">
        <v>852082</v>
      </c>
      <c r="I58" s="162">
        <v>1019881</v>
      </c>
      <c r="J58" s="162">
        <v>1020340</v>
      </c>
      <c r="K58" s="162">
        <v>145814</v>
      </c>
      <c r="L58" s="221">
        <v>0</v>
      </c>
      <c r="M58" s="221">
        <v>0</v>
      </c>
      <c r="N58" s="591">
        <f>SUM(B58+E58+H58+K58)</f>
        <v>1656216</v>
      </c>
      <c r="O58" s="153">
        <f t="shared" si="9"/>
        <v>1701357</v>
      </c>
      <c r="P58" s="767">
        <f t="shared" si="1"/>
        <v>1706186</v>
      </c>
    </row>
    <row r="59" spans="1:16" ht="15.75">
      <c r="A59" s="169" t="s">
        <v>701</v>
      </c>
      <c r="B59" s="162"/>
      <c r="C59" s="137">
        <v>420000</v>
      </c>
      <c r="D59" s="137">
        <v>1250000</v>
      </c>
      <c r="E59" s="162"/>
      <c r="F59" s="162"/>
      <c r="G59" s="162"/>
      <c r="H59" s="162"/>
      <c r="I59" s="162"/>
      <c r="J59" s="162"/>
      <c r="K59" s="162"/>
      <c r="L59" s="221"/>
      <c r="M59" s="221"/>
      <c r="N59" s="591"/>
      <c r="O59" s="153">
        <f t="shared" si="9"/>
        <v>420000</v>
      </c>
      <c r="P59" s="767">
        <f t="shared" si="1"/>
        <v>1250000</v>
      </c>
    </row>
    <row r="60" spans="1:16" ht="15.75">
      <c r="A60" s="172" t="s">
        <v>626</v>
      </c>
      <c r="B60" s="137">
        <f aca="true" t="shared" si="11" ref="B60:L60">SUM(B53+B57+B58)</f>
        <v>809262</v>
      </c>
      <c r="C60" s="137">
        <f>SUM(C53+C57+C58+C59+C56)</f>
        <v>1937762</v>
      </c>
      <c r="D60" s="137">
        <f>SUM(D53+D57+D58+D59+D56)</f>
        <v>2877441</v>
      </c>
      <c r="E60" s="137">
        <f t="shared" si="11"/>
        <v>658320</v>
      </c>
      <c r="F60" s="137">
        <f t="shared" si="11"/>
        <v>684486</v>
      </c>
      <c r="G60" s="137">
        <f t="shared" si="11"/>
        <v>688856</v>
      </c>
      <c r="H60" s="137">
        <f>SUM(H53+H57+H58)</f>
        <v>852082</v>
      </c>
      <c r="I60" s="137">
        <f>SUM(I53+I57+I58)</f>
        <v>1088630</v>
      </c>
      <c r="J60" s="137">
        <f>SUM(J53+J57+J58)</f>
        <v>1089089</v>
      </c>
      <c r="K60" s="137">
        <f t="shared" si="11"/>
        <v>145814</v>
      </c>
      <c r="L60" s="222">
        <f t="shared" si="11"/>
        <v>0</v>
      </c>
      <c r="M60" s="222">
        <v>0</v>
      </c>
      <c r="N60" s="591">
        <f>SUM(B60+E60+H60+K60)</f>
        <v>2465478</v>
      </c>
      <c r="O60" s="153">
        <f t="shared" si="9"/>
        <v>3710878</v>
      </c>
      <c r="P60" s="767">
        <f t="shared" si="1"/>
        <v>4655386</v>
      </c>
    </row>
    <row r="61" spans="1:16" s="140" customFormat="1" ht="16.5" thickBot="1">
      <c r="A61" s="173" t="s">
        <v>627</v>
      </c>
      <c r="B61" s="139">
        <f aca="true" t="shared" si="12" ref="B61:L61">SUM(B52+B60)</f>
        <v>6924047</v>
      </c>
      <c r="C61" s="139">
        <f>SUM(C52+C60)</f>
        <v>8146662</v>
      </c>
      <c r="D61" s="139">
        <f>SUM(D52+D60)</f>
        <v>8992197</v>
      </c>
      <c r="E61" s="139">
        <f t="shared" si="12"/>
        <v>700533</v>
      </c>
      <c r="F61" s="139">
        <f t="shared" si="12"/>
        <v>729441</v>
      </c>
      <c r="G61" s="139">
        <f t="shared" si="12"/>
        <v>733674</v>
      </c>
      <c r="H61" s="139">
        <f t="shared" si="12"/>
        <v>1155287</v>
      </c>
      <c r="I61" s="139">
        <f t="shared" si="12"/>
        <v>1460307</v>
      </c>
      <c r="J61" s="139">
        <f t="shared" si="12"/>
        <v>1469321</v>
      </c>
      <c r="K61" s="139">
        <f t="shared" si="12"/>
        <v>183494</v>
      </c>
      <c r="L61" s="571">
        <f t="shared" si="12"/>
        <v>0</v>
      </c>
      <c r="M61" s="571">
        <v>0</v>
      </c>
      <c r="N61" s="592">
        <f>SUM(B61+E61+H61+K61)</f>
        <v>8963361</v>
      </c>
      <c r="O61" s="444">
        <f t="shared" si="9"/>
        <v>10336410</v>
      </c>
      <c r="P61" s="768">
        <f t="shared" si="1"/>
        <v>11195192</v>
      </c>
    </row>
    <row r="62" spans="14:15" ht="15.75">
      <c r="N62" s="481"/>
      <c r="O62" s="481"/>
    </row>
  </sheetData>
  <sheetProtection/>
  <mergeCells count="7">
    <mergeCell ref="K4:M4"/>
    <mergeCell ref="N4:P4"/>
    <mergeCell ref="A2:N2"/>
    <mergeCell ref="A4:A5"/>
    <mergeCell ref="B4:D4"/>
    <mergeCell ref="E4:G4"/>
    <mergeCell ref="H4:J4"/>
  </mergeCells>
  <printOptions horizontalCentered="1"/>
  <pageMargins left="0.3937007874015748" right="0.07874015748031496" top="0.4724409448818898" bottom="0.2362204724409449" header="0.2362204724409449" footer="0.15748031496062992"/>
  <pageSetup fitToHeight="1" fitToWidth="1" horizontalDpi="600" verticalDpi="600" orientation="landscape" paperSize="9" scale="40" r:id="rId1"/>
  <headerFooter alignWithMargins="0">
    <oddHeader>&amp;L&amp;11 3. melléklet a 28/2015.(XII.18.) önkormányzati rendelethez
3. melléklet az 1/2015.(I.30.)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3"/>
  <sheetViews>
    <sheetView view="pageBreakPreview" zoomScale="66" zoomScaleSheetLayoutView="66" workbookViewId="0" topLeftCell="J1">
      <selection activeCell="N14" sqref="N14"/>
    </sheetView>
  </sheetViews>
  <sheetFormatPr defaultColWidth="9.00390625" defaultRowHeight="22.5" customHeight="1"/>
  <cols>
    <col min="1" max="1" width="0.12890625" style="935" hidden="1" customWidth="1"/>
    <col min="2" max="2" width="0" style="935" hidden="1" customWidth="1"/>
    <col min="3" max="3" width="61.75390625" style="986" customWidth="1"/>
    <col min="4" max="17" width="19.75390625" style="935" customWidth="1"/>
    <col min="18" max="18" width="21.875" style="935" customWidth="1"/>
    <col min="19" max="16384" width="9.125" style="935" customWidth="1"/>
  </cols>
  <sheetData>
    <row r="1" spans="3:17" s="929" customFormat="1" ht="22.5" customHeight="1">
      <c r="C1" s="1164" t="s">
        <v>233</v>
      </c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930"/>
    </row>
    <row r="2" spans="3:17" s="929" customFormat="1" ht="22.5" customHeight="1">
      <c r="C2" s="1165" t="s">
        <v>563</v>
      </c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6"/>
      <c r="Q2" s="932"/>
    </row>
    <row r="3" spans="3:15" s="929" customFormat="1" ht="22.5" customHeight="1" thickBot="1">
      <c r="C3" s="933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</row>
    <row r="4" spans="1:27" ht="35.25" customHeight="1">
      <c r="A4" s="934"/>
      <c r="B4" s="929"/>
      <c r="C4" s="1167" t="s">
        <v>564</v>
      </c>
      <c r="D4" s="1161" t="s">
        <v>5</v>
      </c>
      <c r="E4" s="1162"/>
      <c r="F4" s="1163"/>
      <c r="G4" s="1161" t="s">
        <v>12</v>
      </c>
      <c r="H4" s="1162"/>
      <c r="I4" s="1163"/>
      <c r="J4" s="1161" t="s">
        <v>565</v>
      </c>
      <c r="K4" s="1162"/>
      <c r="L4" s="1163"/>
      <c r="M4" s="1161" t="s">
        <v>566</v>
      </c>
      <c r="N4" s="1162"/>
      <c r="O4" s="1162"/>
      <c r="P4" s="1169" t="s">
        <v>260</v>
      </c>
      <c r="Q4" s="1170"/>
      <c r="R4" s="1171"/>
      <c r="S4" s="929"/>
      <c r="T4" s="929"/>
      <c r="U4" s="929"/>
      <c r="V4" s="929"/>
      <c r="W4" s="929"/>
      <c r="X4" s="929"/>
      <c r="Y4" s="929"/>
      <c r="Z4" s="929"/>
      <c r="AA4" s="929"/>
    </row>
    <row r="5" spans="1:27" ht="25.5" customHeight="1">
      <c r="A5" s="936"/>
      <c r="B5" s="937"/>
      <c r="C5" s="1168"/>
      <c r="D5" s="938" t="s">
        <v>4</v>
      </c>
      <c r="E5" s="939" t="s">
        <v>733</v>
      </c>
      <c r="F5" s="939" t="s">
        <v>799</v>
      </c>
      <c r="G5" s="938" t="s">
        <v>4</v>
      </c>
      <c r="H5" s="939" t="s">
        <v>733</v>
      </c>
      <c r="I5" s="939" t="s">
        <v>799</v>
      </c>
      <c r="J5" s="938" t="s">
        <v>4</v>
      </c>
      <c r="K5" s="939" t="s">
        <v>733</v>
      </c>
      <c r="L5" s="939" t="s">
        <v>799</v>
      </c>
      <c r="M5" s="938" t="s">
        <v>4</v>
      </c>
      <c r="N5" s="940" t="s">
        <v>733</v>
      </c>
      <c r="O5" s="1122" t="s">
        <v>799</v>
      </c>
      <c r="P5" s="941" t="s">
        <v>630</v>
      </c>
      <c r="Q5" s="940" t="s">
        <v>733</v>
      </c>
      <c r="R5" s="987" t="s">
        <v>799</v>
      </c>
      <c r="S5" s="929"/>
      <c r="T5" s="929"/>
      <c r="U5" s="929"/>
      <c r="V5" s="929"/>
      <c r="W5" s="929"/>
      <c r="X5" s="929"/>
      <c r="Y5" s="929"/>
      <c r="Z5" s="929"/>
      <c r="AA5" s="929"/>
    </row>
    <row r="6" spans="1:27" s="950" customFormat="1" ht="22.5" customHeight="1">
      <c r="A6" s="942"/>
      <c r="B6" s="943"/>
      <c r="C6" s="944" t="s">
        <v>567</v>
      </c>
      <c r="D6" s="945">
        <v>221020</v>
      </c>
      <c r="E6" s="945">
        <v>220793</v>
      </c>
      <c r="F6" s="945">
        <v>232701</v>
      </c>
      <c r="G6" s="945">
        <v>392724</v>
      </c>
      <c r="H6" s="945">
        <v>404370</v>
      </c>
      <c r="I6" s="945">
        <v>405770</v>
      </c>
      <c r="J6" s="945">
        <v>453611</v>
      </c>
      <c r="K6" s="945">
        <v>572233</v>
      </c>
      <c r="L6" s="945">
        <v>573836</v>
      </c>
      <c r="M6" s="945">
        <v>94098</v>
      </c>
      <c r="N6" s="946">
        <v>0</v>
      </c>
      <c r="O6" s="946">
        <v>0</v>
      </c>
      <c r="P6" s="947">
        <f aca="true" t="shared" si="0" ref="P6:P20">SUM(D6+G6+J6+M6)</f>
        <v>1161453</v>
      </c>
      <c r="Q6" s="948">
        <f aca="true" t="shared" si="1" ref="Q6:R21">SUM(E6+H6+K6+N6)</f>
        <v>1197396</v>
      </c>
      <c r="R6" s="949">
        <f t="shared" si="1"/>
        <v>1212307</v>
      </c>
      <c r="S6" s="943"/>
      <c r="T6" s="943"/>
      <c r="U6" s="943"/>
      <c r="V6" s="943"/>
      <c r="W6" s="943"/>
      <c r="X6" s="943"/>
      <c r="Y6" s="943"/>
      <c r="Z6" s="943"/>
      <c r="AA6" s="943"/>
    </row>
    <row r="7" spans="1:27" s="950" customFormat="1" ht="22.5" customHeight="1">
      <c r="A7" s="942"/>
      <c r="B7" s="943"/>
      <c r="C7" s="944" t="s">
        <v>568</v>
      </c>
      <c r="D7" s="945">
        <v>50693</v>
      </c>
      <c r="E7" s="945">
        <v>49109</v>
      </c>
      <c r="F7" s="945">
        <v>50278</v>
      </c>
      <c r="G7" s="945">
        <v>110887</v>
      </c>
      <c r="H7" s="945">
        <v>113934</v>
      </c>
      <c r="I7" s="945">
        <v>114314</v>
      </c>
      <c r="J7" s="945">
        <v>120024</v>
      </c>
      <c r="K7" s="945">
        <v>153553</v>
      </c>
      <c r="L7" s="945">
        <v>155104</v>
      </c>
      <c r="M7" s="945">
        <v>26841</v>
      </c>
      <c r="N7" s="946">
        <v>0</v>
      </c>
      <c r="O7" s="946">
        <v>0</v>
      </c>
      <c r="P7" s="947">
        <f t="shared" si="0"/>
        <v>308445</v>
      </c>
      <c r="Q7" s="948">
        <f t="shared" si="1"/>
        <v>316596</v>
      </c>
      <c r="R7" s="949">
        <f t="shared" si="1"/>
        <v>319696</v>
      </c>
      <c r="S7" s="943"/>
      <c r="T7" s="943"/>
      <c r="U7" s="943"/>
      <c r="V7" s="943"/>
      <c r="W7" s="943"/>
      <c r="X7" s="943"/>
      <c r="Y7" s="943"/>
      <c r="Z7" s="943"/>
      <c r="AA7" s="943"/>
    </row>
    <row r="8" spans="1:27" s="950" customFormat="1" ht="22.5" customHeight="1">
      <c r="A8" s="942"/>
      <c r="B8" s="943"/>
      <c r="C8" s="944" t="s">
        <v>569</v>
      </c>
      <c r="D8" s="951">
        <v>974880</v>
      </c>
      <c r="E8" s="951">
        <v>1018951</v>
      </c>
      <c r="F8" s="951">
        <v>1134436</v>
      </c>
      <c r="G8" s="951">
        <v>145311</v>
      </c>
      <c r="H8" s="951">
        <v>152838</v>
      </c>
      <c r="I8" s="951">
        <v>152227</v>
      </c>
      <c r="J8" s="951">
        <v>549085</v>
      </c>
      <c r="K8" s="951">
        <v>668071</v>
      </c>
      <c r="L8" s="951">
        <v>641581</v>
      </c>
      <c r="M8" s="945">
        <v>54173</v>
      </c>
      <c r="N8" s="946">
        <v>0</v>
      </c>
      <c r="O8" s="946">
        <v>0</v>
      </c>
      <c r="P8" s="947">
        <f t="shared" si="0"/>
        <v>1723449</v>
      </c>
      <c r="Q8" s="948">
        <f t="shared" si="1"/>
        <v>1839860</v>
      </c>
      <c r="R8" s="949">
        <f t="shared" si="1"/>
        <v>1928244</v>
      </c>
      <c r="S8" s="943"/>
      <c r="T8" s="943"/>
      <c r="U8" s="943"/>
      <c r="V8" s="943"/>
      <c r="W8" s="943"/>
      <c r="X8" s="943"/>
      <c r="Y8" s="943"/>
      <c r="Z8" s="943"/>
      <c r="AA8" s="943"/>
    </row>
    <row r="9" spans="1:27" s="950" customFormat="1" ht="22.5" customHeight="1">
      <c r="A9" s="942"/>
      <c r="B9" s="943"/>
      <c r="C9" s="952" t="s">
        <v>576</v>
      </c>
      <c r="D9" s="951">
        <v>45474</v>
      </c>
      <c r="E9" s="951">
        <v>42467</v>
      </c>
      <c r="F9" s="951">
        <v>71467</v>
      </c>
      <c r="G9" s="951">
        <v>16777</v>
      </c>
      <c r="H9" s="951">
        <v>29817</v>
      </c>
      <c r="I9" s="951">
        <v>33298</v>
      </c>
      <c r="J9" s="951"/>
      <c r="K9" s="951"/>
      <c r="L9" s="951"/>
      <c r="M9" s="945"/>
      <c r="N9" s="946"/>
      <c r="O9" s="946"/>
      <c r="P9" s="947">
        <f t="shared" si="0"/>
        <v>62251</v>
      </c>
      <c r="Q9" s="948">
        <f t="shared" si="1"/>
        <v>72284</v>
      </c>
      <c r="R9" s="949">
        <f t="shared" si="1"/>
        <v>104765</v>
      </c>
      <c r="S9" s="943"/>
      <c r="T9" s="943"/>
      <c r="U9" s="943"/>
      <c r="V9" s="943"/>
      <c r="W9" s="943"/>
      <c r="X9" s="943"/>
      <c r="Y9" s="943"/>
      <c r="Z9" s="943"/>
      <c r="AA9" s="943"/>
    </row>
    <row r="10" spans="1:27" s="950" customFormat="1" ht="22.5" customHeight="1">
      <c r="A10" s="942"/>
      <c r="B10" s="943"/>
      <c r="C10" s="944" t="s">
        <v>571</v>
      </c>
      <c r="D10" s="951">
        <f>(D11+D12+D13+D17)</f>
        <v>1108548</v>
      </c>
      <c r="E10" s="951">
        <f>(E11+E12+E13+E17)</f>
        <v>1184989</v>
      </c>
      <c r="F10" s="951">
        <f>(F11+F12+F13+F17)</f>
        <v>1180133</v>
      </c>
      <c r="G10" s="951">
        <f aca="true" t="shared" si="2" ref="G10:N10">SUM(G11+G12+G13+G17)</f>
        <v>3000</v>
      </c>
      <c r="H10" s="951">
        <f t="shared" si="2"/>
        <v>1183</v>
      </c>
      <c r="I10" s="951">
        <f t="shared" si="2"/>
        <v>1183</v>
      </c>
      <c r="J10" s="951">
        <f t="shared" si="2"/>
        <v>0</v>
      </c>
      <c r="K10" s="951">
        <f t="shared" si="2"/>
        <v>1715</v>
      </c>
      <c r="L10" s="951">
        <f t="shared" si="2"/>
        <v>31715</v>
      </c>
      <c r="M10" s="951">
        <f t="shared" si="2"/>
        <v>0</v>
      </c>
      <c r="N10" s="953">
        <f t="shared" si="2"/>
        <v>0</v>
      </c>
      <c r="O10" s="953">
        <v>0</v>
      </c>
      <c r="P10" s="947">
        <f t="shared" si="0"/>
        <v>1111548</v>
      </c>
      <c r="Q10" s="948">
        <f t="shared" si="1"/>
        <v>1187887</v>
      </c>
      <c r="R10" s="949">
        <f t="shared" si="1"/>
        <v>1213031</v>
      </c>
      <c r="S10" s="943"/>
      <c r="T10" s="943"/>
      <c r="U10" s="943"/>
      <c r="V10" s="943"/>
      <c r="W10" s="943"/>
      <c r="X10" s="943"/>
      <c r="Y10" s="943"/>
      <c r="Z10" s="943"/>
      <c r="AA10" s="943"/>
    </row>
    <row r="11" spans="1:27" ht="22.5" customHeight="1">
      <c r="A11" s="934"/>
      <c r="B11" s="929"/>
      <c r="C11" s="954" t="s">
        <v>573</v>
      </c>
      <c r="D11" s="955">
        <v>41220</v>
      </c>
      <c r="E11" s="955">
        <v>40220</v>
      </c>
      <c r="F11" s="955">
        <v>36855</v>
      </c>
      <c r="G11" s="955">
        <v>1000</v>
      </c>
      <c r="H11" s="955"/>
      <c r="I11" s="955"/>
      <c r="J11" s="955"/>
      <c r="K11" s="955"/>
      <c r="L11" s="955"/>
      <c r="M11" s="955"/>
      <c r="N11" s="956"/>
      <c r="O11" s="956"/>
      <c r="P11" s="947">
        <f t="shared" si="0"/>
        <v>42220</v>
      </c>
      <c r="Q11" s="948">
        <f t="shared" si="1"/>
        <v>40220</v>
      </c>
      <c r="R11" s="949">
        <f t="shared" si="1"/>
        <v>36855</v>
      </c>
      <c r="S11" s="929"/>
      <c r="T11" s="929"/>
      <c r="U11" s="929"/>
      <c r="V11" s="929"/>
      <c r="W11" s="929"/>
      <c r="X11" s="929"/>
      <c r="Y11" s="929"/>
      <c r="Z11" s="929"/>
      <c r="AA11" s="929"/>
    </row>
    <row r="12" spans="1:27" ht="22.5" customHeight="1">
      <c r="A12" s="934"/>
      <c r="B12" s="929"/>
      <c r="C12" s="954" t="s">
        <v>574</v>
      </c>
      <c r="D12" s="955">
        <v>867928</v>
      </c>
      <c r="E12" s="955">
        <v>1103203</v>
      </c>
      <c r="F12" s="955">
        <v>1124210</v>
      </c>
      <c r="G12" s="955"/>
      <c r="H12" s="955">
        <v>230</v>
      </c>
      <c r="I12" s="955">
        <v>230</v>
      </c>
      <c r="J12" s="955"/>
      <c r="K12" s="955">
        <v>1715</v>
      </c>
      <c r="L12" s="955">
        <v>1715</v>
      </c>
      <c r="M12" s="955"/>
      <c r="N12" s="956"/>
      <c r="O12" s="956"/>
      <c r="P12" s="947">
        <f t="shared" si="0"/>
        <v>867928</v>
      </c>
      <c r="Q12" s="948">
        <f t="shared" si="1"/>
        <v>1105148</v>
      </c>
      <c r="R12" s="949">
        <f t="shared" si="1"/>
        <v>1126155</v>
      </c>
      <c r="S12" s="929"/>
      <c r="T12" s="929"/>
      <c r="U12" s="929"/>
      <c r="V12" s="929"/>
      <c r="W12" s="929"/>
      <c r="X12" s="929"/>
      <c r="Y12" s="929"/>
      <c r="Z12" s="929"/>
      <c r="AA12" s="929"/>
    </row>
    <row r="13" spans="1:27" s="950" customFormat="1" ht="22.5" customHeight="1">
      <c r="A13" s="942"/>
      <c r="B13" s="943"/>
      <c r="C13" s="957" t="s">
        <v>654</v>
      </c>
      <c r="D13" s="958">
        <f>SUM(D14:D16)</f>
        <v>193800</v>
      </c>
      <c r="E13" s="958">
        <f>SUM(E14:E16)</f>
        <v>27498</v>
      </c>
      <c r="F13" s="958">
        <f>SUM(F14:F16)</f>
        <v>5000</v>
      </c>
      <c r="G13" s="958"/>
      <c r="H13" s="958"/>
      <c r="I13" s="958"/>
      <c r="J13" s="958"/>
      <c r="K13" s="958"/>
      <c r="L13" s="958"/>
      <c r="M13" s="958"/>
      <c r="N13" s="959"/>
      <c r="O13" s="959"/>
      <c r="P13" s="947">
        <f t="shared" si="0"/>
        <v>193800</v>
      </c>
      <c r="Q13" s="948">
        <f t="shared" si="1"/>
        <v>27498</v>
      </c>
      <c r="R13" s="949">
        <f t="shared" si="1"/>
        <v>5000</v>
      </c>
      <c r="S13" s="943"/>
      <c r="T13" s="943"/>
      <c r="U13" s="943"/>
      <c r="V13" s="943"/>
      <c r="W13" s="943"/>
      <c r="X13" s="943"/>
      <c r="Y13" s="943"/>
      <c r="Z13" s="943"/>
      <c r="AA13" s="943"/>
    </row>
    <row r="14" spans="1:27" s="965" customFormat="1" ht="22.5" customHeight="1">
      <c r="A14" s="960"/>
      <c r="B14" s="961"/>
      <c r="C14" s="962" t="s">
        <v>575</v>
      </c>
      <c r="D14" s="963">
        <v>15000</v>
      </c>
      <c r="E14" s="963">
        <v>6086</v>
      </c>
      <c r="F14" s="963">
        <v>4043</v>
      </c>
      <c r="G14" s="963"/>
      <c r="H14" s="963"/>
      <c r="I14" s="963"/>
      <c r="J14" s="963"/>
      <c r="K14" s="963"/>
      <c r="L14" s="963"/>
      <c r="M14" s="963"/>
      <c r="N14" s="964"/>
      <c r="O14" s="964"/>
      <c r="P14" s="947">
        <f t="shared" si="0"/>
        <v>15000</v>
      </c>
      <c r="Q14" s="948">
        <f t="shared" si="1"/>
        <v>6086</v>
      </c>
      <c r="R14" s="949">
        <f t="shared" si="1"/>
        <v>4043</v>
      </c>
      <c r="S14" s="961"/>
      <c r="T14" s="961"/>
      <c r="U14" s="961"/>
      <c r="V14" s="961"/>
      <c r="W14" s="961"/>
      <c r="X14" s="961"/>
      <c r="Y14" s="961"/>
      <c r="Z14" s="961"/>
      <c r="AA14" s="961"/>
    </row>
    <row r="15" spans="1:27" s="965" customFormat="1" ht="22.5" customHeight="1">
      <c r="A15" s="960"/>
      <c r="B15" s="961"/>
      <c r="C15" s="962" t="s">
        <v>32</v>
      </c>
      <c r="D15" s="963">
        <v>100000</v>
      </c>
      <c r="E15" s="963">
        <v>7373</v>
      </c>
      <c r="F15" s="963">
        <v>957</v>
      </c>
      <c r="G15" s="963"/>
      <c r="H15" s="963"/>
      <c r="I15" s="963"/>
      <c r="J15" s="963"/>
      <c r="K15" s="963"/>
      <c r="L15" s="963"/>
      <c r="M15" s="963"/>
      <c r="N15" s="964"/>
      <c r="O15" s="964"/>
      <c r="P15" s="947">
        <f t="shared" si="0"/>
        <v>100000</v>
      </c>
      <c r="Q15" s="948">
        <f t="shared" si="1"/>
        <v>7373</v>
      </c>
      <c r="R15" s="949">
        <f t="shared" si="1"/>
        <v>957</v>
      </c>
      <c r="S15" s="961"/>
      <c r="T15" s="961"/>
      <c r="U15" s="961"/>
      <c r="V15" s="961"/>
      <c r="W15" s="961"/>
      <c r="X15" s="961"/>
      <c r="Y15" s="961"/>
      <c r="Z15" s="961"/>
      <c r="AA15" s="961"/>
    </row>
    <row r="16" spans="1:27" s="965" customFormat="1" ht="22.5" customHeight="1">
      <c r="A16" s="960"/>
      <c r="B16" s="961"/>
      <c r="C16" s="962" t="s">
        <v>585</v>
      </c>
      <c r="D16" s="963">
        <v>78800</v>
      </c>
      <c r="E16" s="963">
        <v>14039</v>
      </c>
      <c r="F16" s="963">
        <v>0</v>
      </c>
      <c r="G16" s="963"/>
      <c r="H16" s="963"/>
      <c r="I16" s="963"/>
      <c r="J16" s="963"/>
      <c r="K16" s="963"/>
      <c r="L16" s="963"/>
      <c r="M16" s="963"/>
      <c r="N16" s="964"/>
      <c r="O16" s="964"/>
      <c r="P16" s="947">
        <f t="shared" si="0"/>
        <v>78800</v>
      </c>
      <c r="Q16" s="948">
        <f t="shared" si="1"/>
        <v>14039</v>
      </c>
      <c r="R16" s="949">
        <f t="shared" si="1"/>
        <v>0</v>
      </c>
      <c r="S16" s="961"/>
      <c r="T16" s="961"/>
      <c r="U16" s="961"/>
      <c r="V16" s="961"/>
      <c r="W16" s="961"/>
      <c r="X16" s="961"/>
      <c r="Y16" s="961"/>
      <c r="Z16" s="961"/>
      <c r="AA16" s="961"/>
    </row>
    <row r="17" spans="1:27" s="950" customFormat="1" ht="22.5" customHeight="1" thickBot="1">
      <c r="A17" s="966"/>
      <c r="B17" s="967"/>
      <c r="C17" s="957" t="s">
        <v>33</v>
      </c>
      <c r="D17" s="958">
        <v>5600</v>
      </c>
      <c r="E17" s="958">
        <v>14068</v>
      </c>
      <c r="F17" s="958">
        <v>14068</v>
      </c>
      <c r="G17" s="958">
        <v>2000</v>
      </c>
      <c r="H17" s="958">
        <v>953</v>
      </c>
      <c r="I17" s="958">
        <v>953</v>
      </c>
      <c r="J17" s="945"/>
      <c r="K17" s="945"/>
      <c r="L17" s="958">
        <v>30000</v>
      </c>
      <c r="M17" s="945"/>
      <c r="N17" s="946"/>
      <c r="O17" s="946"/>
      <c r="P17" s="947">
        <f t="shared" si="0"/>
        <v>7600</v>
      </c>
      <c r="Q17" s="948">
        <f t="shared" si="1"/>
        <v>15021</v>
      </c>
      <c r="R17" s="949">
        <f t="shared" si="1"/>
        <v>45021</v>
      </c>
      <c r="S17" s="943"/>
      <c r="T17" s="943"/>
      <c r="U17" s="943"/>
      <c r="V17" s="943"/>
      <c r="W17" s="943"/>
      <c r="X17" s="943"/>
      <c r="Y17" s="943"/>
      <c r="Z17" s="943"/>
      <c r="AA17" s="943"/>
    </row>
    <row r="18" spans="1:27" s="950" customFormat="1" ht="22.5" customHeight="1">
      <c r="A18" s="943"/>
      <c r="B18" s="943"/>
      <c r="C18" s="944" t="s">
        <v>586</v>
      </c>
      <c r="D18" s="945">
        <v>2192246</v>
      </c>
      <c r="E18" s="945">
        <v>2161911</v>
      </c>
      <c r="F18" s="945">
        <v>1940495</v>
      </c>
      <c r="G18" s="945">
        <v>31834</v>
      </c>
      <c r="H18" s="945">
        <v>26299</v>
      </c>
      <c r="I18" s="945">
        <v>25882</v>
      </c>
      <c r="J18" s="945">
        <v>12903</v>
      </c>
      <c r="K18" s="945">
        <v>45253</v>
      </c>
      <c r="L18" s="945">
        <v>48228</v>
      </c>
      <c r="M18" s="945">
        <v>8382</v>
      </c>
      <c r="N18" s="946">
        <v>0</v>
      </c>
      <c r="O18" s="946">
        <v>0</v>
      </c>
      <c r="P18" s="947">
        <f t="shared" si="0"/>
        <v>2245365</v>
      </c>
      <c r="Q18" s="948">
        <f t="shared" si="1"/>
        <v>2233463</v>
      </c>
      <c r="R18" s="949">
        <f t="shared" si="1"/>
        <v>2014605</v>
      </c>
      <c r="S18" s="943"/>
      <c r="T18" s="943"/>
      <c r="U18" s="943"/>
      <c r="V18" s="943"/>
      <c r="W18" s="943"/>
      <c r="X18" s="943"/>
      <c r="Y18" s="943"/>
      <c r="Z18" s="943"/>
      <c r="AA18" s="943"/>
    </row>
    <row r="19" spans="1:27" s="950" customFormat="1" ht="22.5" customHeight="1">
      <c r="A19" s="943"/>
      <c r="B19" s="943"/>
      <c r="C19" s="944" t="s">
        <v>587</v>
      </c>
      <c r="D19" s="945">
        <v>234263</v>
      </c>
      <c r="E19" s="945">
        <v>227712</v>
      </c>
      <c r="F19" s="945">
        <v>224923</v>
      </c>
      <c r="G19" s="945">
        <v>0</v>
      </c>
      <c r="H19" s="945"/>
      <c r="I19" s="945"/>
      <c r="J19" s="945">
        <v>19664</v>
      </c>
      <c r="K19" s="945">
        <v>19482</v>
      </c>
      <c r="L19" s="945">
        <v>18857</v>
      </c>
      <c r="M19" s="945">
        <v>0</v>
      </c>
      <c r="N19" s="946"/>
      <c r="O19" s="946"/>
      <c r="P19" s="947">
        <f t="shared" si="0"/>
        <v>253927</v>
      </c>
      <c r="Q19" s="948">
        <f t="shared" si="1"/>
        <v>247194</v>
      </c>
      <c r="R19" s="949">
        <f t="shared" si="1"/>
        <v>243780</v>
      </c>
      <c r="S19" s="943"/>
      <c r="T19" s="943"/>
      <c r="U19" s="943"/>
      <c r="V19" s="943"/>
      <c r="W19" s="943"/>
      <c r="X19" s="943"/>
      <c r="Y19" s="943"/>
      <c r="Z19" s="943"/>
      <c r="AA19" s="943"/>
    </row>
    <row r="20" spans="1:27" s="950" customFormat="1" ht="22.5" customHeight="1">
      <c r="A20" s="943"/>
      <c r="B20" s="943"/>
      <c r="C20" s="944" t="s">
        <v>588</v>
      </c>
      <c r="D20" s="968">
        <f aca="true" t="shared" si="3" ref="D20:N20">SUM(D22:D23)</f>
        <v>440707</v>
      </c>
      <c r="E20" s="968">
        <f>SUM(E21:E23)</f>
        <v>301792</v>
      </c>
      <c r="F20" s="968">
        <f>SUM(F21:F23)</f>
        <v>265412</v>
      </c>
      <c r="G20" s="968">
        <f t="shared" si="3"/>
        <v>0</v>
      </c>
      <c r="H20" s="968">
        <f>SUM(H21:H23)</f>
        <v>1000</v>
      </c>
      <c r="I20" s="968">
        <f>SUM(I21:I23)</f>
        <v>1000</v>
      </c>
      <c r="J20" s="968">
        <f t="shared" si="3"/>
        <v>0</v>
      </c>
      <c r="K20" s="968"/>
      <c r="L20" s="968"/>
      <c r="M20" s="968">
        <f t="shared" si="3"/>
        <v>0</v>
      </c>
      <c r="N20" s="969">
        <f t="shared" si="3"/>
        <v>0</v>
      </c>
      <c r="O20" s="969">
        <v>0</v>
      </c>
      <c r="P20" s="947">
        <f t="shared" si="0"/>
        <v>440707</v>
      </c>
      <c r="Q20" s="948">
        <f t="shared" si="1"/>
        <v>302792</v>
      </c>
      <c r="R20" s="949">
        <f t="shared" si="1"/>
        <v>266412</v>
      </c>
      <c r="S20" s="943"/>
      <c r="T20" s="943"/>
      <c r="U20" s="943"/>
      <c r="V20" s="943"/>
      <c r="W20" s="943"/>
      <c r="X20" s="943"/>
      <c r="Y20" s="943"/>
      <c r="Z20" s="943"/>
      <c r="AA20" s="943"/>
    </row>
    <row r="21" spans="1:27" s="950" customFormat="1" ht="22.5" customHeight="1">
      <c r="A21" s="943"/>
      <c r="B21" s="943"/>
      <c r="C21" s="957" t="s">
        <v>573</v>
      </c>
      <c r="D21" s="968"/>
      <c r="E21" s="958">
        <v>28786</v>
      </c>
      <c r="F21" s="958">
        <v>28986</v>
      </c>
      <c r="G21" s="968"/>
      <c r="H21" s="958">
        <v>1000</v>
      </c>
      <c r="I21" s="958">
        <v>1000</v>
      </c>
      <c r="J21" s="958"/>
      <c r="K21" s="968"/>
      <c r="L21" s="968"/>
      <c r="M21" s="968"/>
      <c r="N21" s="969"/>
      <c r="O21" s="969"/>
      <c r="P21" s="947"/>
      <c r="Q21" s="948">
        <f aca="true" t="shared" si="4" ref="Q21:R35">SUM(E21+H21+K21+N21)</f>
        <v>29786</v>
      </c>
      <c r="R21" s="949">
        <f t="shared" si="1"/>
        <v>29986</v>
      </c>
      <c r="S21" s="943"/>
      <c r="T21" s="943"/>
      <c r="U21" s="943"/>
      <c r="V21" s="943"/>
      <c r="W21" s="943"/>
      <c r="X21" s="943"/>
      <c r="Y21" s="943"/>
      <c r="Z21" s="943"/>
      <c r="AA21" s="943"/>
    </row>
    <row r="22" spans="1:27" s="950" customFormat="1" ht="42" customHeight="1">
      <c r="A22" s="943"/>
      <c r="B22" s="943"/>
      <c r="C22" s="954" t="s">
        <v>589</v>
      </c>
      <c r="D22" s="958">
        <v>193590</v>
      </c>
      <c r="E22" s="958">
        <v>232626</v>
      </c>
      <c r="F22" s="958">
        <v>236426</v>
      </c>
      <c r="G22" s="945"/>
      <c r="H22" s="945"/>
      <c r="I22" s="945"/>
      <c r="J22" s="945"/>
      <c r="K22" s="945"/>
      <c r="L22" s="945"/>
      <c r="M22" s="945"/>
      <c r="N22" s="946"/>
      <c r="O22" s="946"/>
      <c r="P22" s="947">
        <f>SUM(D22+G22+J22+M22)</f>
        <v>193590</v>
      </c>
      <c r="Q22" s="948">
        <f t="shared" si="4"/>
        <v>232626</v>
      </c>
      <c r="R22" s="949">
        <f t="shared" si="4"/>
        <v>236426</v>
      </c>
      <c r="S22" s="943"/>
      <c r="T22" s="943"/>
      <c r="U22" s="943"/>
      <c r="V22" s="943"/>
      <c r="W22" s="943"/>
      <c r="X22" s="943"/>
      <c r="Y22" s="943"/>
      <c r="Z22" s="943"/>
      <c r="AA22" s="943"/>
    </row>
    <row r="23" spans="1:27" s="971" customFormat="1" ht="22.5" customHeight="1">
      <c r="A23" s="970"/>
      <c r="B23" s="970"/>
      <c r="C23" s="954" t="s">
        <v>658</v>
      </c>
      <c r="D23" s="958">
        <f>SUM(D24:D25)</f>
        <v>247117</v>
      </c>
      <c r="E23" s="958">
        <f>SUM(E24:E25)</f>
        <v>40380</v>
      </c>
      <c r="F23" s="958">
        <v>0</v>
      </c>
      <c r="G23" s="963">
        <f>SUM(G24:G25)</f>
        <v>0</v>
      </c>
      <c r="H23" s="963"/>
      <c r="I23" s="963"/>
      <c r="J23" s="963">
        <f>SUM(J24:J25)</f>
        <v>0</v>
      </c>
      <c r="K23" s="963"/>
      <c r="L23" s="963"/>
      <c r="M23" s="963">
        <f>SUM(M24:M25)</f>
        <v>0</v>
      </c>
      <c r="N23" s="964">
        <f>SUM(N24:N25)</f>
        <v>0</v>
      </c>
      <c r="O23" s="964">
        <v>0</v>
      </c>
      <c r="P23" s="947">
        <f>SUM(D23+G23+J23+M23)</f>
        <v>247117</v>
      </c>
      <c r="Q23" s="948">
        <f t="shared" si="4"/>
        <v>40380</v>
      </c>
      <c r="R23" s="949">
        <f t="shared" si="4"/>
        <v>0</v>
      </c>
      <c r="S23" s="970"/>
      <c r="T23" s="970"/>
      <c r="U23" s="970"/>
      <c r="V23" s="970"/>
      <c r="W23" s="970"/>
      <c r="X23" s="970"/>
      <c r="Y23" s="970"/>
      <c r="Z23" s="970"/>
      <c r="AA23" s="970"/>
    </row>
    <row r="24" spans="1:27" s="971" customFormat="1" ht="42" customHeight="1">
      <c r="A24" s="970"/>
      <c r="B24" s="970"/>
      <c r="C24" s="962" t="s">
        <v>789</v>
      </c>
      <c r="D24" s="963">
        <v>77075</v>
      </c>
      <c r="E24" s="963">
        <v>31474</v>
      </c>
      <c r="F24" s="963">
        <v>0</v>
      </c>
      <c r="G24" s="963"/>
      <c r="H24" s="963"/>
      <c r="I24" s="963"/>
      <c r="J24" s="963"/>
      <c r="K24" s="963"/>
      <c r="L24" s="963"/>
      <c r="M24" s="963"/>
      <c r="N24" s="964"/>
      <c r="O24" s="964"/>
      <c r="P24" s="947">
        <f>SUM(D24+G24+J24+M24)</f>
        <v>77075</v>
      </c>
      <c r="Q24" s="948">
        <f t="shared" si="4"/>
        <v>31474</v>
      </c>
      <c r="R24" s="949">
        <f t="shared" si="4"/>
        <v>0</v>
      </c>
      <c r="S24" s="970"/>
      <c r="T24" s="970"/>
      <c r="U24" s="970"/>
      <c r="V24" s="970"/>
      <c r="W24" s="970"/>
      <c r="X24" s="970"/>
      <c r="Y24" s="970"/>
      <c r="Z24" s="970"/>
      <c r="AA24" s="970"/>
    </row>
    <row r="25" spans="1:27" s="973" customFormat="1" ht="22.5" customHeight="1">
      <c r="A25" s="972"/>
      <c r="B25" s="972"/>
      <c r="C25" s="962" t="s">
        <v>590</v>
      </c>
      <c r="D25" s="963">
        <v>170042</v>
      </c>
      <c r="E25" s="963">
        <v>8906</v>
      </c>
      <c r="F25" s="963">
        <v>0</v>
      </c>
      <c r="G25" s="968"/>
      <c r="H25" s="968"/>
      <c r="I25" s="968"/>
      <c r="J25" s="968"/>
      <c r="K25" s="968"/>
      <c r="L25" s="968"/>
      <c r="M25" s="968"/>
      <c r="N25" s="969"/>
      <c r="O25" s="969"/>
      <c r="P25" s="947">
        <f>SUM(D25+G25+J25+M25)</f>
        <v>170042</v>
      </c>
      <c r="Q25" s="948">
        <f t="shared" si="4"/>
        <v>8906</v>
      </c>
      <c r="R25" s="949">
        <f t="shared" si="4"/>
        <v>0</v>
      </c>
      <c r="S25" s="972"/>
      <c r="T25" s="972"/>
      <c r="U25" s="972"/>
      <c r="V25" s="972"/>
      <c r="W25" s="972"/>
      <c r="X25" s="972"/>
      <c r="Y25" s="972"/>
      <c r="Z25" s="972"/>
      <c r="AA25" s="972"/>
    </row>
    <row r="26" spans="3:27" s="973" customFormat="1" ht="22.5" customHeight="1">
      <c r="C26" s="952" t="s">
        <v>591</v>
      </c>
      <c r="D26" s="968">
        <f aca="true" t="shared" si="5" ref="D26:N26">SUM(D6+D7+D8+D9+D10+D18+D19+D20)</f>
        <v>5267831</v>
      </c>
      <c r="E26" s="968">
        <f t="shared" si="5"/>
        <v>5207724</v>
      </c>
      <c r="F26" s="968">
        <f t="shared" si="5"/>
        <v>5099845</v>
      </c>
      <c r="G26" s="968">
        <f t="shared" si="5"/>
        <v>700533</v>
      </c>
      <c r="H26" s="968">
        <f>SUM(H6+H7+H8+H9+H10+H18+H19+H20)</f>
        <v>729441</v>
      </c>
      <c r="I26" s="968">
        <f>SUM(I6+I7+I8+I9+I10+I18+I19+I20)</f>
        <v>733674</v>
      </c>
      <c r="J26" s="968">
        <f t="shared" si="5"/>
        <v>1155287</v>
      </c>
      <c r="K26" s="968">
        <f t="shared" si="5"/>
        <v>1460307</v>
      </c>
      <c r="L26" s="968">
        <f t="shared" si="5"/>
        <v>1469321</v>
      </c>
      <c r="M26" s="968">
        <f t="shared" si="5"/>
        <v>183494</v>
      </c>
      <c r="N26" s="969">
        <f t="shared" si="5"/>
        <v>0</v>
      </c>
      <c r="O26" s="969">
        <v>0</v>
      </c>
      <c r="P26" s="947">
        <f>SUM(D26+G26+J26+M26)</f>
        <v>7307145</v>
      </c>
      <c r="Q26" s="948">
        <f t="shared" si="4"/>
        <v>7397472</v>
      </c>
      <c r="R26" s="949">
        <f t="shared" si="4"/>
        <v>7302840</v>
      </c>
      <c r="S26" s="972"/>
      <c r="T26" s="972"/>
      <c r="U26" s="972"/>
      <c r="V26" s="972"/>
      <c r="W26" s="972"/>
      <c r="X26" s="972"/>
      <c r="Y26" s="972"/>
      <c r="Z26" s="972"/>
      <c r="AA26" s="972"/>
    </row>
    <row r="27" spans="3:27" s="973" customFormat="1" ht="22.5" customHeight="1">
      <c r="C27" s="952" t="s">
        <v>729</v>
      </c>
      <c r="D27" s="968"/>
      <c r="E27" s="968">
        <f>SUM(E28:E30)</f>
        <v>257081</v>
      </c>
      <c r="F27" s="968">
        <f>SUM(F28:F30)</f>
        <v>257081</v>
      </c>
      <c r="G27" s="968"/>
      <c r="H27" s="968"/>
      <c r="I27" s="968"/>
      <c r="J27" s="968"/>
      <c r="K27" s="968"/>
      <c r="L27" s="968"/>
      <c r="M27" s="968"/>
      <c r="N27" s="969"/>
      <c r="O27" s="969"/>
      <c r="P27" s="947"/>
      <c r="Q27" s="948">
        <f t="shared" si="4"/>
        <v>257081</v>
      </c>
      <c r="R27" s="949">
        <f t="shared" si="4"/>
        <v>257081</v>
      </c>
      <c r="S27" s="972"/>
      <c r="T27" s="972"/>
      <c r="U27" s="972"/>
      <c r="V27" s="972"/>
      <c r="W27" s="972"/>
      <c r="X27" s="972"/>
      <c r="Y27" s="972"/>
      <c r="Z27" s="972"/>
      <c r="AA27" s="972"/>
    </row>
    <row r="28" spans="3:27" s="973" customFormat="1" ht="22.5" customHeight="1">
      <c r="C28" s="957" t="s">
        <v>727</v>
      </c>
      <c r="D28" s="968"/>
      <c r="E28" s="958">
        <v>35131</v>
      </c>
      <c r="F28" s="958">
        <v>35131</v>
      </c>
      <c r="G28" s="968"/>
      <c r="H28" s="968"/>
      <c r="I28" s="968"/>
      <c r="J28" s="968"/>
      <c r="K28" s="968"/>
      <c r="L28" s="968"/>
      <c r="M28" s="968"/>
      <c r="N28" s="969"/>
      <c r="O28" s="969"/>
      <c r="P28" s="947"/>
      <c r="Q28" s="948">
        <f t="shared" si="4"/>
        <v>35131</v>
      </c>
      <c r="R28" s="949">
        <f t="shared" si="4"/>
        <v>35131</v>
      </c>
      <c r="S28" s="972"/>
      <c r="T28" s="972"/>
      <c r="U28" s="972"/>
      <c r="V28" s="972"/>
      <c r="W28" s="972"/>
      <c r="X28" s="972"/>
      <c r="Y28" s="972"/>
      <c r="Z28" s="972"/>
      <c r="AA28" s="972"/>
    </row>
    <row r="29" spans="3:27" s="973" customFormat="1" ht="22.5" customHeight="1">
      <c r="C29" s="957" t="s">
        <v>728</v>
      </c>
      <c r="D29" s="968"/>
      <c r="E29" s="958">
        <v>55556</v>
      </c>
      <c r="F29" s="958">
        <v>55556</v>
      </c>
      <c r="G29" s="968"/>
      <c r="H29" s="968"/>
      <c r="I29" s="968"/>
      <c r="J29" s="968"/>
      <c r="K29" s="968"/>
      <c r="L29" s="968"/>
      <c r="M29" s="968"/>
      <c r="N29" s="969"/>
      <c r="O29" s="969"/>
      <c r="P29" s="947"/>
      <c r="Q29" s="948">
        <f t="shared" si="4"/>
        <v>55556</v>
      </c>
      <c r="R29" s="949">
        <f t="shared" si="4"/>
        <v>55556</v>
      </c>
      <c r="S29" s="972"/>
      <c r="T29" s="972"/>
      <c r="U29" s="972"/>
      <c r="V29" s="972"/>
      <c r="W29" s="972"/>
      <c r="X29" s="972"/>
      <c r="Y29" s="972"/>
      <c r="Z29" s="972"/>
      <c r="AA29" s="972"/>
    </row>
    <row r="30" spans="3:27" s="973" customFormat="1" ht="22.5" customHeight="1">
      <c r="C30" s="957" t="s">
        <v>788</v>
      </c>
      <c r="D30" s="968"/>
      <c r="E30" s="958">
        <v>166394</v>
      </c>
      <c r="F30" s="958">
        <v>166394</v>
      </c>
      <c r="G30" s="968"/>
      <c r="H30" s="968"/>
      <c r="I30" s="968"/>
      <c r="J30" s="968"/>
      <c r="K30" s="968"/>
      <c r="L30" s="968"/>
      <c r="M30" s="968"/>
      <c r="N30" s="969"/>
      <c r="O30" s="969"/>
      <c r="P30" s="947"/>
      <c r="Q30" s="948">
        <f t="shared" si="4"/>
        <v>166394</v>
      </c>
      <c r="R30" s="949">
        <f t="shared" si="4"/>
        <v>166394</v>
      </c>
      <c r="S30" s="972"/>
      <c r="T30" s="972"/>
      <c r="U30" s="972"/>
      <c r="V30" s="972"/>
      <c r="W30" s="972"/>
      <c r="X30" s="972"/>
      <c r="Y30" s="972"/>
      <c r="Z30" s="972"/>
      <c r="AA30" s="972"/>
    </row>
    <row r="31" spans="3:27" s="973" customFormat="1" ht="22.5" customHeight="1">
      <c r="C31" s="952" t="s">
        <v>753</v>
      </c>
      <c r="D31" s="968"/>
      <c r="E31" s="958">
        <v>560500</v>
      </c>
      <c r="F31" s="958">
        <v>679085</v>
      </c>
      <c r="G31" s="968"/>
      <c r="H31" s="968"/>
      <c r="I31" s="968"/>
      <c r="J31" s="968"/>
      <c r="K31" s="968"/>
      <c r="L31" s="968"/>
      <c r="M31" s="968"/>
      <c r="N31" s="969"/>
      <c r="O31" s="969"/>
      <c r="P31" s="947"/>
      <c r="Q31" s="948">
        <f t="shared" si="4"/>
        <v>560500</v>
      </c>
      <c r="R31" s="949">
        <f t="shared" si="4"/>
        <v>679085</v>
      </c>
      <c r="S31" s="972"/>
      <c r="T31" s="972"/>
      <c r="U31" s="972"/>
      <c r="V31" s="972"/>
      <c r="W31" s="972"/>
      <c r="X31" s="972"/>
      <c r="Y31" s="972"/>
      <c r="Z31" s="972"/>
      <c r="AA31" s="972"/>
    </row>
    <row r="32" spans="3:27" s="973" customFormat="1" ht="22.5" customHeight="1">
      <c r="C32" s="952" t="s">
        <v>715</v>
      </c>
      <c r="D32" s="968"/>
      <c r="E32" s="958">
        <v>420000</v>
      </c>
      <c r="F32" s="958">
        <v>1250000</v>
      </c>
      <c r="G32" s="968"/>
      <c r="H32" s="968"/>
      <c r="I32" s="968"/>
      <c r="J32" s="968"/>
      <c r="K32" s="968"/>
      <c r="L32" s="968"/>
      <c r="M32" s="968"/>
      <c r="N32" s="969"/>
      <c r="O32" s="969"/>
      <c r="P32" s="947"/>
      <c r="Q32" s="948">
        <f t="shared" si="4"/>
        <v>420000</v>
      </c>
      <c r="R32" s="949">
        <f t="shared" si="4"/>
        <v>1250000</v>
      </c>
      <c r="S32" s="972"/>
      <c r="T32" s="972"/>
      <c r="U32" s="972"/>
      <c r="V32" s="972"/>
      <c r="W32" s="972"/>
      <c r="X32" s="972"/>
      <c r="Y32" s="972"/>
      <c r="Z32" s="972"/>
      <c r="AA32" s="972"/>
    </row>
    <row r="33" spans="3:18" s="929" customFormat="1" ht="22.5" customHeight="1">
      <c r="C33" s="952" t="s">
        <v>247</v>
      </c>
      <c r="D33" s="974">
        <v>1656216</v>
      </c>
      <c r="E33" s="974">
        <v>1701357</v>
      </c>
      <c r="F33" s="974">
        <v>1706186</v>
      </c>
      <c r="G33" s="975"/>
      <c r="H33" s="975"/>
      <c r="I33" s="975"/>
      <c r="J33" s="975"/>
      <c r="K33" s="975"/>
      <c r="L33" s="975"/>
      <c r="M33" s="975"/>
      <c r="N33" s="976"/>
      <c r="O33" s="976"/>
      <c r="P33" s="947">
        <f>SUM(D33+G33+J33+M33)</f>
        <v>1656216</v>
      </c>
      <c r="Q33" s="948">
        <f t="shared" si="4"/>
        <v>1701357</v>
      </c>
      <c r="R33" s="949">
        <f t="shared" si="4"/>
        <v>1706186</v>
      </c>
    </row>
    <row r="34" spans="3:18" s="929" customFormat="1" ht="22.5" customHeight="1">
      <c r="C34" s="952" t="s">
        <v>592</v>
      </c>
      <c r="D34" s="977">
        <f aca="true" t="shared" si="6" ref="D34:N34">SUM(D33:D33)</f>
        <v>1656216</v>
      </c>
      <c r="E34" s="977">
        <f>(E27+E32+E33+E31)</f>
        <v>2938938</v>
      </c>
      <c r="F34" s="977">
        <f>(F27+F32+F33+F31)</f>
        <v>3892352</v>
      </c>
      <c r="G34" s="977">
        <f t="shared" si="6"/>
        <v>0</v>
      </c>
      <c r="H34" s="977">
        <f t="shared" si="6"/>
        <v>0</v>
      </c>
      <c r="I34" s="977">
        <v>0</v>
      </c>
      <c r="J34" s="977">
        <f t="shared" si="6"/>
        <v>0</v>
      </c>
      <c r="K34" s="977">
        <f t="shared" si="6"/>
        <v>0</v>
      </c>
      <c r="L34" s="977"/>
      <c r="M34" s="977">
        <f t="shared" si="6"/>
        <v>0</v>
      </c>
      <c r="N34" s="978">
        <f t="shared" si="6"/>
        <v>0</v>
      </c>
      <c r="O34" s="978">
        <v>0</v>
      </c>
      <c r="P34" s="947">
        <f>SUM(D34+G34+J34+M34)</f>
        <v>1656216</v>
      </c>
      <c r="Q34" s="948">
        <f t="shared" si="4"/>
        <v>2938938</v>
      </c>
      <c r="R34" s="949">
        <f t="shared" si="4"/>
        <v>3892352</v>
      </c>
    </row>
    <row r="35" spans="3:27" ht="22.5" customHeight="1" thickBot="1">
      <c r="C35" s="979" t="s">
        <v>593</v>
      </c>
      <c r="D35" s="980">
        <f aca="true" t="shared" si="7" ref="D35:N35">SUM(D26+D34)</f>
        <v>6924047</v>
      </c>
      <c r="E35" s="980">
        <f t="shared" si="7"/>
        <v>8146662</v>
      </c>
      <c r="F35" s="980">
        <f t="shared" si="7"/>
        <v>8992197</v>
      </c>
      <c r="G35" s="980">
        <f t="shared" si="7"/>
        <v>700533</v>
      </c>
      <c r="H35" s="980">
        <f t="shared" si="7"/>
        <v>729441</v>
      </c>
      <c r="I35" s="980">
        <f t="shared" si="7"/>
        <v>733674</v>
      </c>
      <c r="J35" s="980">
        <f t="shared" si="7"/>
        <v>1155287</v>
      </c>
      <c r="K35" s="980">
        <f t="shared" si="7"/>
        <v>1460307</v>
      </c>
      <c r="L35" s="980">
        <f t="shared" si="7"/>
        <v>1469321</v>
      </c>
      <c r="M35" s="980">
        <f t="shared" si="7"/>
        <v>183494</v>
      </c>
      <c r="N35" s="981">
        <f t="shared" si="7"/>
        <v>0</v>
      </c>
      <c r="O35" s="978">
        <v>0</v>
      </c>
      <c r="P35" s="982">
        <f>SUM(D35+G35+J35+M35)</f>
        <v>8963361</v>
      </c>
      <c r="Q35" s="983">
        <f t="shared" si="4"/>
        <v>10336410</v>
      </c>
      <c r="R35" s="984">
        <f t="shared" si="4"/>
        <v>11195192</v>
      </c>
      <c r="S35" s="929"/>
      <c r="T35" s="929"/>
      <c r="U35" s="929"/>
      <c r="V35" s="929"/>
      <c r="W35" s="929"/>
      <c r="X35" s="929"/>
      <c r="Y35" s="929"/>
      <c r="Z35" s="929"/>
      <c r="AA35" s="929"/>
    </row>
    <row r="36" spans="3:27" ht="22.5" customHeight="1">
      <c r="C36" s="985"/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29"/>
    </row>
    <row r="37" spans="3:27" ht="22.5" customHeight="1">
      <c r="C37" s="985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T37" s="929"/>
      <c r="U37" s="929"/>
      <c r="V37" s="929"/>
      <c r="W37" s="929"/>
      <c r="X37" s="929"/>
      <c r="Y37" s="929"/>
      <c r="Z37" s="929"/>
      <c r="AA37" s="929"/>
    </row>
    <row r="38" spans="3:27" ht="22.5" customHeight="1">
      <c r="C38" s="985"/>
      <c r="D38" s="929"/>
      <c r="E38" s="929"/>
      <c r="F38" s="929"/>
      <c r="G38" s="929"/>
      <c r="H38" s="929"/>
      <c r="I38" s="929"/>
      <c r="J38" s="929"/>
      <c r="K38" s="929"/>
      <c r="L38" s="929"/>
      <c r="M38" s="929"/>
      <c r="N38" s="929"/>
      <c r="O38" s="929"/>
      <c r="P38" s="929"/>
      <c r="Q38" s="929"/>
      <c r="R38" s="929"/>
      <c r="S38" s="929"/>
      <c r="T38" s="929"/>
      <c r="U38" s="929"/>
      <c r="V38" s="929"/>
      <c r="W38" s="929"/>
      <c r="X38" s="929"/>
      <c r="Y38" s="929"/>
      <c r="Z38" s="929"/>
      <c r="AA38" s="929"/>
    </row>
    <row r="39" spans="3:27" ht="22.5" customHeight="1">
      <c r="C39" s="985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</row>
    <row r="40" spans="3:27" ht="22.5" customHeight="1">
      <c r="C40" s="985"/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29"/>
      <c r="P40" s="929"/>
      <c r="Q40" s="929"/>
      <c r="R40" s="929"/>
      <c r="S40" s="929"/>
      <c r="T40" s="929"/>
      <c r="U40" s="929"/>
      <c r="V40" s="929"/>
      <c r="W40" s="929"/>
      <c r="X40" s="929"/>
      <c r="Y40" s="929"/>
      <c r="Z40" s="929"/>
      <c r="AA40" s="929"/>
    </row>
    <row r="41" spans="3:27" ht="22.5" customHeight="1">
      <c r="C41" s="985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</row>
    <row r="42" spans="3:27" ht="22.5" customHeight="1">
      <c r="C42" s="985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</row>
    <row r="43" spans="3:27" ht="22.5" customHeight="1">
      <c r="C43" s="985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29"/>
      <c r="P43" s="929"/>
      <c r="Q43" s="929"/>
      <c r="R43" s="929"/>
      <c r="S43" s="929"/>
      <c r="T43" s="929"/>
      <c r="U43" s="929"/>
      <c r="V43" s="929"/>
      <c r="W43" s="929"/>
      <c r="X43" s="929"/>
      <c r="Y43" s="929"/>
      <c r="Z43" s="929"/>
      <c r="AA43" s="929"/>
    </row>
    <row r="44" spans="3:27" ht="22.5" customHeight="1">
      <c r="C44" s="985"/>
      <c r="D44" s="929"/>
      <c r="E44" s="929"/>
      <c r="F44" s="929"/>
      <c r="G44" s="929"/>
      <c r="H44" s="929"/>
      <c r="I44" s="929"/>
      <c r="J44" s="929"/>
      <c r="K44" s="929"/>
      <c r="L44" s="929"/>
      <c r="M44" s="929"/>
      <c r="N44" s="929"/>
      <c r="O44" s="929"/>
      <c r="P44" s="929"/>
      <c r="Q44" s="929"/>
      <c r="R44" s="929"/>
      <c r="S44" s="929"/>
      <c r="T44" s="929"/>
      <c r="U44" s="929"/>
      <c r="V44" s="929"/>
      <c r="W44" s="929"/>
      <c r="X44" s="929"/>
      <c r="Y44" s="929"/>
      <c r="Z44" s="929"/>
      <c r="AA44" s="929"/>
    </row>
    <row r="45" spans="3:27" ht="22.5" customHeight="1">
      <c r="C45" s="985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29"/>
      <c r="P45" s="929"/>
      <c r="Q45" s="929"/>
      <c r="R45" s="929"/>
      <c r="S45" s="929"/>
      <c r="T45" s="929"/>
      <c r="U45" s="929"/>
      <c r="V45" s="929"/>
      <c r="W45" s="929"/>
      <c r="X45" s="929"/>
      <c r="Y45" s="929"/>
      <c r="Z45" s="929"/>
      <c r="AA45" s="929"/>
    </row>
    <row r="46" spans="3:27" ht="22.5" customHeight="1">
      <c r="C46" s="985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</row>
    <row r="47" spans="3:27" ht="22.5" customHeight="1">
      <c r="C47" s="985"/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</row>
    <row r="48" spans="3:27" ht="22.5" customHeight="1">
      <c r="C48" s="985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</row>
    <row r="49" spans="3:27" ht="22.5" customHeight="1">
      <c r="C49" s="985"/>
      <c r="D49" s="929"/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29"/>
      <c r="AA49" s="929"/>
    </row>
    <row r="50" spans="3:27" ht="22.5" customHeight="1">
      <c r="C50" s="985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</row>
    <row r="51" spans="3:27" ht="22.5" customHeight="1">
      <c r="C51" s="985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</row>
    <row r="52" spans="3:27" ht="22.5" customHeight="1">
      <c r="C52" s="985"/>
      <c r="D52" s="929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29"/>
    </row>
    <row r="53" spans="3:27" ht="22.5" customHeight="1">
      <c r="C53" s="985"/>
      <c r="D53" s="929"/>
      <c r="E53" s="929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29"/>
      <c r="AA53" s="929"/>
    </row>
    <row r="54" spans="3:27" ht="22.5" customHeight="1">
      <c r="C54" s="985"/>
      <c r="D54" s="929"/>
      <c r="E54" s="929"/>
      <c r="F54" s="929"/>
      <c r="G54" s="929"/>
      <c r="H54" s="929"/>
      <c r="I54" s="929"/>
      <c r="J54" s="929"/>
      <c r="K54" s="929"/>
      <c r="L54" s="929"/>
      <c r="M54" s="929"/>
      <c r="N54" s="929"/>
      <c r="O54" s="929"/>
      <c r="P54" s="929"/>
      <c r="Q54" s="929"/>
      <c r="R54" s="929"/>
      <c r="S54" s="929"/>
      <c r="T54" s="929"/>
      <c r="U54" s="929"/>
      <c r="V54" s="929"/>
      <c r="W54" s="929"/>
      <c r="X54" s="929"/>
      <c r="Y54" s="929"/>
      <c r="Z54" s="929"/>
      <c r="AA54" s="929"/>
    </row>
    <row r="55" spans="3:27" ht="22.5" customHeight="1">
      <c r="C55" s="985"/>
      <c r="D55" s="929"/>
      <c r="E55" s="929"/>
      <c r="F55" s="929"/>
      <c r="G55" s="929"/>
      <c r="H55" s="929"/>
      <c r="I55" s="929"/>
      <c r="J55" s="929"/>
      <c r="K55" s="929"/>
      <c r="L55" s="929"/>
      <c r="M55" s="929"/>
      <c r="N55" s="929"/>
      <c r="O55" s="929"/>
      <c r="P55" s="929"/>
      <c r="Q55" s="929"/>
      <c r="R55" s="929"/>
      <c r="S55" s="929"/>
      <c r="T55" s="929"/>
      <c r="U55" s="929"/>
      <c r="V55" s="929"/>
      <c r="W55" s="929"/>
      <c r="X55" s="929"/>
      <c r="Y55" s="929"/>
      <c r="Z55" s="929"/>
      <c r="AA55" s="929"/>
    </row>
    <row r="56" spans="3:27" ht="22.5" customHeight="1">
      <c r="C56" s="985"/>
      <c r="D56" s="929"/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9"/>
      <c r="U56" s="929"/>
      <c r="V56" s="929"/>
      <c r="W56" s="929"/>
      <c r="X56" s="929"/>
      <c r="Y56" s="929"/>
      <c r="Z56" s="929"/>
      <c r="AA56" s="929"/>
    </row>
    <row r="57" spans="3:27" ht="22.5" customHeight="1">
      <c r="C57" s="985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</row>
    <row r="58" spans="3:27" ht="22.5" customHeight="1">
      <c r="C58" s="985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</row>
    <row r="59" spans="3:15" ht="22.5" customHeight="1">
      <c r="C59" s="985"/>
      <c r="D59" s="929"/>
      <c r="E59" s="929"/>
      <c r="F59" s="929"/>
      <c r="G59" s="929"/>
      <c r="H59" s="929"/>
      <c r="I59" s="929"/>
      <c r="J59" s="929"/>
      <c r="K59" s="929"/>
      <c r="L59" s="929"/>
      <c r="M59" s="929"/>
      <c r="N59" s="929"/>
      <c r="O59" s="929"/>
    </row>
    <row r="60" spans="3:15" ht="22.5" customHeight="1">
      <c r="C60" s="985"/>
      <c r="D60" s="929"/>
      <c r="E60" s="929"/>
      <c r="F60" s="929"/>
      <c r="G60" s="929"/>
      <c r="H60" s="929"/>
      <c r="I60" s="929"/>
      <c r="J60" s="929"/>
      <c r="K60" s="929"/>
      <c r="L60" s="929"/>
      <c r="M60" s="929"/>
      <c r="N60" s="929"/>
      <c r="O60" s="929"/>
    </row>
    <row r="61" spans="3:15" ht="22.5" customHeight="1">
      <c r="C61" s="985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</row>
    <row r="62" spans="3:15" ht="22.5" customHeight="1">
      <c r="C62" s="985"/>
      <c r="D62" s="929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</row>
    <row r="63" spans="3:15" ht="22.5" customHeight="1">
      <c r="C63" s="985"/>
      <c r="D63" s="929"/>
      <c r="E63" s="929"/>
      <c r="F63" s="929"/>
      <c r="G63" s="929"/>
      <c r="H63" s="929"/>
      <c r="I63" s="929"/>
      <c r="J63" s="929"/>
      <c r="K63" s="929"/>
      <c r="L63" s="929"/>
      <c r="M63" s="929"/>
      <c r="N63" s="929"/>
      <c r="O63" s="929"/>
    </row>
    <row r="64" spans="3:15" ht="22.5" customHeight="1">
      <c r="C64" s="985"/>
      <c r="D64" s="929"/>
      <c r="E64" s="929"/>
      <c r="F64" s="929"/>
      <c r="G64" s="929"/>
      <c r="H64" s="929"/>
      <c r="I64" s="929"/>
      <c r="J64" s="929"/>
      <c r="K64" s="929"/>
      <c r="L64" s="929"/>
      <c r="M64" s="929"/>
      <c r="N64" s="929"/>
      <c r="O64" s="929"/>
    </row>
    <row r="65" spans="3:15" ht="22.5" customHeight="1">
      <c r="C65" s="985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9"/>
      <c r="O65" s="929"/>
    </row>
    <row r="66" spans="3:15" ht="22.5" customHeight="1">
      <c r="C66" s="985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29"/>
    </row>
    <row r="67" spans="3:15" ht="22.5" customHeight="1">
      <c r="C67" s="985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</row>
    <row r="68" spans="3:15" ht="22.5" customHeight="1">
      <c r="C68" s="985"/>
      <c r="D68" s="929"/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</row>
    <row r="69" spans="3:15" ht="22.5" customHeight="1">
      <c r="C69" s="985"/>
      <c r="D69" s="929"/>
      <c r="E69" s="929"/>
      <c r="F69" s="929"/>
      <c r="G69" s="929"/>
      <c r="H69" s="929"/>
      <c r="I69" s="929"/>
      <c r="J69" s="929"/>
      <c r="K69" s="929"/>
      <c r="L69" s="929"/>
      <c r="M69" s="929"/>
      <c r="N69" s="929"/>
      <c r="O69" s="929"/>
    </row>
    <row r="70" spans="3:15" ht="22.5" customHeight="1">
      <c r="C70" s="985"/>
      <c r="D70" s="929"/>
      <c r="E70" s="929"/>
      <c r="F70" s="929"/>
      <c r="G70" s="929"/>
      <c r="H70" s="929"/>
      <c r="I70" s="929"/>
      <c r="J70" s="929"/>
      <c r="K70" s="929"/>
      <c r="L70" s="929"/>
      <c r="M70" s="929"/>
      <c r="N70" s="929"/>
      <c r="O70" s="929"/>
    </row>
    <row r="71" spans="3:15" ht="22.5" customHeight="1">
      <c r="C71" s="985"/>
      <c r="D71" s="929"/>
      <c r="E71" s="929"/>
      <c r="F71" s="929"/>
      <c r="G71" s="929"/>
      <c r="H71" s="929"/>
      <c r="I71" s="929"/>
      <c r="J71" s="929"/>
      <c r="K71" s="929"/>
      <c r="L71" s="929"/>
      <c r="M71" s="929"/>
      <c r="N71" s="929"/>
      <c r="O71" s="929"/>
    </row>
    <row r="72" spans="3:15" ht="22.5" customHeight="1">
      <c r="C72" s="985"/>
      <c r="D72" s="929"/>
      <c r="E72" s="929"/>
      <c r="F72" s="929"/>
      <c r="G72" s="929"/>
      <c r="H72" s="929"/>
      <c r="I72" s="929"/>
      <c r="J72" s="929"/>
      <c r="K72" s="929"/>
      <c r="L72" s="929"/>
      <c r="M72" s="929"/>
      <c r="N72" s="929"/>
      <c r="O72" s="929"/>
    </row>
    <row r="73" spans="3:15" ht="22.5" customHeight="1">
      <c r="C73" s="985"/>
      <c r="D73" s="929"/>
      <c r="E73" s="929"/>
      <c r="F73" s="929"/>
      <c r="G73" s="929"/>
      <c r="H73" s="929"/>
      <c r="I73" s="929"/>
      <c r="J73" s="929"/>
      <c r="K73" s="929"/>
      <c r="L73" s="929"/>
      <c r="M73" s="929"/>
      <c r="N73" s="929"/>
      <c r="O73" s="929"/>
    </row>
    <row r="74" spans="3:15" ht="22.5" customHeight="1">
      <c r="C74" s="985"/>
      <c r="D74" s="929"/>
      <c r="E74" s="929"/>
      <c r="F74" s="929"/>
      <c r="G74" s="929"/>
      <c r="H74" s="929"/>
      <c r="I74" s="929"/>
      <c r="J74" s="929"/>
      <c r="K74" s="929"/>
      <c r="L74" s="929"/>
      <c r="M74" s="929"/>
      <c r="N74" s="929"/>
      <c r="O74" s="929"/>
    </row>
    <row r="75" spans="3:15" ht="22.5" customHeight="1">
      <c r="C75" s="985"/>
      <c r="D75" s="929"/>
      <c r="E75" s="929"/>
      <c r="F75" s="929"/>
      <c r="G75" s="929"/>
      <c r="H75" s="929"/>
      <c r="I75" s="929"/>
      <c r="J75" s="929"/>
      <c r="K75" s="929"/>
      <c r="L75" s="929"/>
      <c r="M75" s="929"/>
      <c r="N75" s="929"/>
      <c r="O75" s="929"/>
    </row>
    <row r="76" spans="3:15" ht="22.5" customHeight="1">
      <c r="C76" s="985"/>
      <c r="D76" s="929"/>
      <c r="E76" s="929"/>
      <c r="F76" s="929"/>
      <c r="G76" s="929"/>
      <c r="H76" s="929"/>
      <c r="I76" s="929"/>
      <c r="J76" s="929"/>
      <c r="K76" s="929"/>
      <c r="L76" s="929"/>
      <c r="M76" s="929"/>
      <c r="N76" s="929"/>
      <c r="O76" s="929"/>
    </row>
    <row r="77" spans="3:15" ht="22.5" customHeight="1">
      <c r="C77" s="985"/>
      <c r="D77" s="929"/>
      <c r="E77" s="929"/>
      <c r="F77" s="929"/>
      <c r="G77" s="929"/>
      <c r="H77" s="929"/>
      <c r="I77" s="929"/>
      <c r="J77" s="929"/>
      <c r="K77" s="929"/>
      <c r="L77" s="929"/>
      <c r="M77" s="929"/>
      <c r="N77" s="929"/>
      <c r="O77" s="929"/>
    </row>
    <row r="78" spans="3:15" ht="22.5" customHeight="1">
      <c r="C78" s="985"/>
      <c r="D78" s="929"/>
      <c r="E78" s="929"/>
      <c r="F78" s="929"/>
      <c r="G78" s="929"/>
      <c r="H78" s="929"/>
      <c r="I78" s="929"/>
      <c r="J78" s="929"/>
      <c r="K78" s="929"/>
      <c r="L78" s="929"/>
      <c r="M78" s="929"/>
      <c r="N78" s="929"/>
      <c r="O78" s="929"/>
    </row>
    <row r="79" spans="3:15" ht="22.5" customHeight="1">
      <c r="C79" s="985"/>
      <c r="D79" s="929"/>
      <c r="E79" s="929"/>
      <c r="F79" s="929"/>
      <c r="G79" s="929"/>
      <c r="H79" s="929"/>
      <c r="I79" s="929"/>
      <c r="J79" s="929"/>
      <c r="K79" s="929"/>
      <c r="L79" s="929"/>
      <c r="M79" s="929"/>
      <c r="N79" s="929"/>
      <c r="O79" s="929"/>
    </row>
    <row r="80" spans="3:15" ht="22.5" customHeight="1">
      <c r="C80" s="985"/>
      <c r="D80" s="929"/>
      <c r="E80" s="929"/>
      <c r="F80" s="929"/>
      <c r="G80" s="929"/>
      <c r="H80" s="929"/>
      <c r="I80" s="929"/>
      <c r="J80" s="929"/>
      <c r="K80" s="929"/>
      <c r="L80" s="929"/>
      <c r="M80" s="929"/>
      <c r="N80" s="929"/>
      <c r="O80" s="929"/>
    </row>
    <row r="81" spans="3:15" ht="22.5" customHeight="1">
      <c r="C81" s="985"/>
      <c r="D81" s="929"/>
      <c r="E81" s="929"/>
      <c r="F81" s="929"/>
      <c r="G81" s="929"/>
      <c r="H81" s="929"/>
      <c r="I81" s="929"/>
      <c r="J81" s="929"/>
      <c r="K81" s="929"/>
      <c r="L81" s="929"/>
      <c r="M81" s="929"/>
      <c r="N81" s="929"/>
      <c r="O81" s="929"/>
    </row>
    <row r="82" spans="3:15" ht="22.5" customHeight="1">
      <c r="C82" s="985"/>
      <c r="D82" s="929"/>
      <c r="E82" s="929"/>
      <c r="F82" s="929"/>
      <c r="G82" s="929"/>
      <c r="H82" s="929"/>
      <c r="I82" s="929"/>
      <c r="J82" s="929"/>
      <c r="K82" s="929"/>
      <c r="L82" s="929"/>
      <c r="M82" s="929"/>
      <c r="N82" s="929"/>
      <c r="O82" s="929"/>
    </row>
    <row r="83" spans="3:15" ht="22.5" customHeight="1">
      <c r="C83" s="985"/>
      <c r="D83" s="929"/>
      <c r="E83" s="929"/>
      <c r="F83" s="929"/>
      <c r="G83" s="929"/>
      <c r="H83" s="929"/>
      <c r="I83" s="929"/>
      <c r="J83" s="929"/>
      <c r="K83" s="929"/>
      <c r="L83" s="929"/>
      <c r="M83" s="929"/>
      <c r="N83" s="929"/>
      <c r="O83" s="929"/>
    </row>
    <row r="84" spans="3:15" ht="22.5" customHeight="1">
      <c r="C84" s="985"/>
      <c r="D84" s="929"/>
      <c r="E84" s="929"/>
      <c r="F84" s="929"/>
      <c r="G84" s="929"/>
      <c r="H84" s="929"/>
      <c r="I84" s="929"/>
      <c r="J84" s="929"/>
      <c r="K84" s="929"/>
      <c r="L84" s="929"/>
      <c r="M84" s="929"/>
      <c r="N84" s="929"/>
      <c r="O84" s="929"/>
    </row>
    <row r="85" spans="3:15" ht="22.5" customHeight="1">
      <c r="C85" s="985"/>
      <c r="D85" s="929"/>
      <c r="E85" s="929"/>
      <c r="F85" s="929"/>
      <c r="G85" s="929"/>
      <c r="H85" s="929"/>
      <c r="I85" s="929"/>
      <c r="J85" s="929"/>
      <c r="K85" s="929"/>
      <c r="L85" s="929"/>
      <c r="M85" s="929"/>
      <c r="N85" s="929"/>
      <c r="O85" s="929"/>
    </row>
    <row r="86" spans="3:15" ht="22.5" customHeight="1">
      <c r="C86" s="985"/>
      <c r="D86" s="929"/>
      <c r="E86" s="929"/>
      <c r="F86" s="929"/>
      <c r="G86" s="929"/>
      <c r="H86" s="929"/>
      <c r="I86" s="929"/>
      <c r="J86" s="929"/>
      <c r="K86" s="929"/>
      <c r="L86" s="929"/>
      <c r="M86" s="929"/>
      <c r="N86" s="929"/>
      <c r="O86" s="929"/>
    </row>
    <row r="87" spans="3:15" ht="22.5" customHeight="1">
      <c r="C87" s="985"/>
      <c r="D87" s="929"/>
      <c r="E87" s="929"/>
      <c r="F87" s="929"/>
      <c r="G87" s="929"/>
      <c r="H87" s="929"/>
      <c r="I87" s="929"/>
      <c r="J87" s="929"/>
      <c r="K87" s="929"/>
      <c r="L87" s="929"/>
      <c r="M87" s="929"/>
      <c r="N87" s="929"/>
      <c r="O87" s="929"/>
    </row>
    <row r="88" spans="3:15" ht="22.5" customHeight="1">
      <c r="C88" s="985"/>
      <c r="D88" s="929"/>
      <c r="E88" s="929"/>
      <c r="F88" s="929"/>
      <c r="G88" s="929"/>
      <c r="H88" s="929"/>
      <c r="I88" s="929"/>
      <c r="J88" s="929"/>
      <c r="K88" s="929"/>
      <c r="L88" s="929"/>
      <c r="M88" s="929"/>
      <c r="N88" s="929"/>
      <c r="O88" s="929"/>
    </row>
    <row r="89" spans="3:15" ht="22.5" customHeight="1">
      <c r="C89" s="985"/>
      <c r="D89" s="929"/>
      <c r="E89" s="929"/>
      <c r="F89" s="929"/>
      <c r="G89" s="929"/>
      <c r="H89" s="929"/>
      <c r="I89" s="929"/>
      <c r="J89" s="929"/>
      <c r="K89" s="929"/>
      <c r="L89" s="929"/>
      <c r="M89" s="929"/>
      <c r="N89" s="929"/>
      <c r="O89" s="929"/>
    </row>
    <row r="90" spans="3:15" ht="22.5" customHeight="1">
      <c r="C90" s="985"/>
      <c r="D90" s="929"/>
      <c r="E90" s="929"/>
      <c r="F90" s="929"/>
      <c r="G90" s="929"/>
      <c r="H90" s="929"/>
      <c r="I90" s="929"/>
      <c r="J90" s="929"/>
      <c r="K90" s="929"/>
      <c r="L90" s="929"/>
      <c r="M90" s="929"/>
      <c r="N90" s="929"/>
      <c r="O90" s="929"/>
    </row>
    <row r="91" spans="3:15" ht="22.5" customHeight="1">
      <c r="C91" s="985"/>
      <c r="D91" s="929"/>
      <c r="E91" s="929"/>
      <c r="F91" s="929"/>
      <c r="G91" s="929"/>
      <c r="H91" s="929"/>
      <c r="I91" s="929"/>
      <c r="J91" s="929"/>
      <c r="K91" s="929"/>
      <c r="L91" s="929"/>
      <c r="M91" s="929"/>
      <c r="N91" s="929"/>
      <c r="O91" s="929"/>
    </row>
    <row r="92" spans="3:15" ht="22.5" customHeight="1">
      <c r="C92" s="985"/>
      <c r="D92" s="929"/>
      <c r="E92" s="929"/>
      <c r="F92" s="929"/>
      <c r="G92" s="929"/>
      <c r="H92" s="929"/>
      <c r="I92" s="929"/>
      <c r="J92" s="929"/>
      <c r="K92" s="929"/>
      <c r="L92" s="929"/>
      <c r="M92" s="929"/>
      <c r="N92" s="929"/>
      <c r="O92" s="929"/>
    </row>
    <row r="93" spans="3:15" ht="22.5" customHeight="1">
      <c r="C93" s="985"/>
      <c r="D93" s="929"/>
      <c r="E93" s="929"/>
      <c r="F93" s="929"/>
      <c r="G93" s="929"/>
      <c r="H93" s="929"/>
      <c r="I93" s="929"/>
      <c r="J93" s="929"/>
      <c r="K93" s="929"/>
      <c r="L93" s="929"/>
      <c r="M93" s="929"/>
      <c r="N93" s="929"/>
      <c r="O93" s="929"/>
    </row>
    <row r="94" spans="3:15" ht="22.5" customHeight="1">
      <c r="C94" s="985"/>
      <c r="D94" s="929"/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929"/>
    </row>
    <row r="95" spans="3:15" ht="22.5" customHeight="1">
      <c r="C95" s="985"/>
      <c r="D95" s="929"/>
      <c r="E95" s="929"/>
      <c r="F95" s="929"/>
      <c r="G95" s="929"/>
      <c r="H95" s="929"/>
      <c r="I95" s="929"/>
      <c r="J95" s="929"/>
      <c r="K95" s="929"/>
      <c r="L95" s="929"/>
      <c r="M95" s="929"/>
      <c r="N95" s="929"/>
      <c r="O95" s="929"/>
    </row>
    <row r="96" spans="3:15" ht="22.5" customHeight="1">
      <c r="C96" s="985"/>
      <c r="D96" s="929"/>
      <c r="E96" s="929"/>
      <c r="F96" s="929"/>
      <c r="G96" s="929"/>
      <c r="H96" s="929"/>
      <c r="I96" s="929"/>
      <c r="J96" s="929"/>
      <c r="K96" s="929"/>
      <c r="L96" s="929"/>
      <c r="M96" s="929"/>
      <c r="N96" s="929"/>
      <c r="O96" s="929"/>
    </row>
    <row r="97" spans="3:15" ht="22.5" customHeight="1">
      <c r="C97" s="985"/>
      <c r="D97" s="929"/>
      <c r="E97" s="929"/>
      <c r="F97" s="929"/>
      <c r="G97" s="929"/>
      <c r="H97" s="929"/>
      <c r="I97" s="929"/>
      <c r="J97" s="929"/>
      <c r="K97" s="929"/>
      <c r="L97" s="929"/>
      <c r="M97" s="929"/>
      <c r="N97" s="929"/>
      <c r="O97" s="929"/>
    </row>
    <row r="98" spans="3:15" ht="22.5" customHeight="1">
      <c r="C98" s="985"/>
      <c r="D98" s="929"/>
      <c r="E98" s="929"/>
      <c r="F98" s="929"/>
      <c r="G98" s="929"/>
      <c r="H98" s="929"/>
      <c r="I98" s="929"/>
      <c r="J98" s="929"/>
      <c r="K98" s="929"/>
      <c r="L98" s="929"/>
      <c r="M98" s="929"/>
      <c r="N98" s="929"/>
      <c r="O98" s="929"/>
    </row>
    <row r="99" spans="3:15" ht="22.5" customHeight="1">
      <c r="C99" s="985"/>
      <c r="D99" s="929"/>
      <c r="E99" s="929"/>
      <c r="F99" s="929"/>
      <c r="G99" s="929"/>
      <c r="H99" s="929"/>
      <c r="I99" s="929"/>
      <c r="J99" s="929"/>
      <c r="K99" s="929"/>
      <c r="L99" s="929"/>
      <c r="M99" s="929"/>
      <c r="N99" s="929"/>
      <c r="O99" s="929"/>
    </row>
    <row r="100" spans="3:15" ht="22.5" customHeight="1">
      <c r="C100" s="985"/>
      <c r="D100" s="929"/>
      <c r="E100" s="929"/>
      <c r="F100" s="929"/>
      <c r="G100" s="929"/>
      <c r="H100" s="929"/>
      <c r="I100" s="929"/>
      <c r="J100" s="929"/>
      <c r="K100" s="929"/>
      <c r="L100" s="929"/>
      <c r="M100" s="929"/>
      <c r="N100" s="929"/>
      <c r="O100" s="929"/>
    </row>
    <row r="101" spans="3:15" ht="22.5" customHeight="1">
      <c r="C101" s="985"/>
      <c r="D101" s="929"/>
      <c r="E101" s="929"/>
      <c r="F101" s="929"/>
      <c r="G101" s="929"/>
      <c r="H101" s="929"/>
      <c r="I101" s="929"/>
      <c r="J101" s="929"/>
      <c r="K101" s="929"/>
      <c r="L101" s="929"/>
      <c r="M101" s="929"/>
      <c r="N101" s="929"/>
      <c r="O101" s="929"/>
    </row>
    <row r="102" spans="3:15" ht="22.5" customHeight="1">
      <c r="C102" s="985"/>
      <c r="D102" s="929"/>
      <c r="E102" s="929"/>
      <c r="F102" s="929"/>
      <c r="G102" s="929"/>
      <c r="H102" s="929"/>
      <c r="I102" s="929"/>
      <c r="J102" s="929"/>
      <c r="K102" s="929"/>
      <c r="L102" s="929"/>
      <c r="M102" s="929"/>
      <c r="N102" s="929"/>
      <c r="O102" s="929"/>
    </row>
    <row r="103" spans="3:15" ht="22.5" customHeight="1">
      <c r="C103" s="985"/>
      <c r="D103" s="929"/>
      <c r="E103" s="929"/>
      <c r="F103" s="929"/>
      <c r="G103" s="929"/>
      <c r="H103" s="929"/>
      <c r="I103" s="929"/>
      <c r="J103" s="929"/>
      <c r="K103" s="929"/>
      <c r="L103" s="929"/>
      <c r="M103" s="929"/>
      <c r="N103" s="929"/>
      <c r="O103" s="929"/>
    </row>
    <row r="104" spans="3:15" ht="22.5" customHeight="1">
      <c r="C104" s="985"/>
      <c r="D104" s="929"/>
      <c r="E104" s="929"/>
      <c r="F104" s="929"/>
      <c r="G104" s="929"/>
      <c r="H104" s="929"/>
      <c r="I104" s="929"/>
      <c r="J104" s="929"/>
      <c r="K104" s="929"/>
      <c r="L104" s="929"/>
      <c r="M104" s="929"/>
      <c r="N104" s="929"/>
      <c r="O104" s="929"/>
    </row>
    <row r="105" spans="3:15" ht="22.5" customHeight="1">
      <c r="C105" s="985"/>
      <c r="D105" s="929"/>
      <c r="E105" s="929"/>
      <c r="F105" s="929"/>
      <c r="G105" s="929"/>
      <c r="H105" s="929"/>
      <c r="I105" s="929"/>
      <c r="J105" s="929"/>
      <c r="K105" s="929"/>
      <c r="L105" s="929"/>
      <c r="M105" s="929"/>
      <c r="N105" s="929"/>
      <c r="O105" s="929"/>
    </row>
    <row r="106" spans="3:15" ht="22.5" customHeight="1">
      <c r="C106" s="985"/>
      <c r="D106" s="929"/>
      <c r="E106" s="929"/>
      <c r="F106" s="929"/>
      <c r="G106" s="929"/>
      <c r="H106" s="929"/>
      <c r="I106" s="929"/>
      <c r="J106" s="929"/>
      <c r="K106" s="929"/>
      <c r="L106" s="929"/>
      <c r="M106" s="929"/>
      <c r="N106" s="929"/>
      <c r="O106" s="929"/>
    </row>
    <row r="107" spans="3:15" ht="22.5" customHeight="1">
      <c r="C107" s="985"/>
      <c r="D107" s="929"/>
      <c r="E107" s="929"/>
      <c r="F107" s="929"/>
      <c r="G107" s="929"/>
      <c r="H107" s="929"/>
      <c r="I107" s="929"/>
      <c r="J107" s="929"/>
      <c r="K107" s="929"/>
      <c r="L107" s="929"/>
      <c r="M107" s="929"/>
      <c r="N107" s="929"/>
      <c r="O107" s="929"/>
    </row>
    <row r="108" spans="3:15" ht="22.5" customHeight="1">
      <c r="C108" s="985"/>
      <c r="D108" s="929"/>
      <c r="E108" s="929"/>
      <c r="F108" s="929"/>
      <c r="G108" s="929"/>
      <c r="H108" s="929"/>
      <c r="I108" s="929"/>
      <c r="J108" s="929"/>
      <c r="K108" s="929"/>
      <c r="L108" s="929"/>
      <c r="M108" s="929"/>
      <c r="N108" s="929"/>
      <c r="O108" s="929"/>
    </row>
    <row r="109" spans="3:15" ht="22.5" customHeight="1">
      <c r="C109" s="985"/>
      <c r="D109" s="929"/>
      <c r="E109" s="929"/>
      <c r="F109" s="929"/>
      <c r="G109" s="929"/>
      <c r="H109" s="929"/>
      <c r="I109" s="929"/>
      <c r="J109" s="929"/>
      <c r="K109" s="929"/>
      <c r="L109" s="929"/>
      <c r="M109" s="929"/>
      <c r="N109" s="929"/>
      <c r="O109" s="929"/>
    </row>
    <row r="110" spans="3:15" ht="22.5" customHeight="1">
      <c r="C110" s="985"/>
      <c r="D110" s="929"/>
      <c r="E110" s="929"/>
      <c r="F110" s="929"/>
      <c r="G110" s="929"/>
      <c r="H110" s="929"/>
      <c r="I110" s="929"/>
      <c r="J110" s="929"/>
      <c r="K110" s="929"/>
      <c r="L110" s="929"/>
      <c r="M110" s="929"/>
      <c r="N110" s="929"/>
      <c r="O110" s="929"/>
    </row>
    <row r="111" spans="3:15" ht="22.5" customHeight="1">
      <c r="C111" s="985"/>
      <c r="D111" s="929"/>
      <c r="E111" s="929"/>
      <c r="F111" s="929"/>
      <c r="G111" s="929"/>
      <c r="H111" s="929"/>
      <c r="I111" s="929"/>
      <c r="J111" s="929"/>
      <c r="K111" s="929"/>
      <c r="L111" s="929"/>
      <c r="M111" s="929"/>
      <c r="N111" s="929"/>
      <c r="O111" s="929"/>
    </row>
    <row r="112" spans="3:15" ht="22.5" customHeight="1">
      <c r="C112" s="985"/>
      <c r="D112" s="929"/>
      <c r="E112" s="929"/>
      <c r="F112" s="929"/>
      <c r="G112" s="929"/>
      <c r="H112" s="929"/>
      <c r="I112" s="929"/>
      <c r="J112" s="929"/>
      <c r="K112" s="929"/>
      <c r="L112" s="929"/>
      <c r="M112" s="929"/>
      <c r="N112" s="929"/>
      <c r="O112" s="929"/>
    </row>
    <row r="113" spans="3:15" ht="22.5" customHeight="1">
      <c r="C113" s="985"/>
      <c r="D113" s="929"/>
      <c r="E113" s="929"/>
      <c r="F113" s="929"/>
      <c r="G113" s="929"/>
      <c r="H113" s="929"/>
      <c r="I113" s="929"/>
      <c r="J113" s="929"/>
      <c r="K113" s="929"/>
      <c r="L113" s="929"/>
      <c r="M113" s="929"/>
      <c r="N113" s="929"/>
      <c r="O113" s="929"/>
    </row>
    <row r="114" spans="3:15" ht="22.5" customHeight="1">
      <c r="C114" s="985"/>
      <c r="D114" s="929"/>
      <c r="E114" s="929"/>
      <c r="F114" s="929"/>
      <c r="G114" s="929"/>
      <c r="H114" s="929"/>
      <c r="I114" s="929"/>
      <c r="J114" s="929"/>
      <c r="K114" s="929"/>
      <c r="L114" s="929"/>
      <c r="M114" s="929"/>
      <c r="N114" s="929"/>
      <c r="O114" s="929"/>
    </row>
    <row r="115" spans="3:15" ht="22.5" customHeight="1">
      <c r="C115" s="985"/>
      <c r="D115" s="929"/>
      <c r="E115" s="929"/>
      <c r="F115" s="929"/>
      <c r="G115" s="929"/>
      <c r="H115" s="929"/>
      <c r="I115" s="929"/>
      <c r="J115" s="929"/>
      <c r="K115" s="929"/>
      <c r="L115" s="929"/>
      <c r="M115" s="929"/>
      <c r="N115" s="929"/>
      <c r="O115" s="929"/>
    </row>
    <row r="116" spans="3:15" ht="22.5" customHeight="1">
      <c r="C116" s="985"/>
      <c r="D116" s="929"/>
      <c r="E116" s="929"/>
      <c r="F116" s="929"/>
      <c r="G116" s="929"/>
      <c r="H116" s="929"/>
      <c r="I116" s="929"/>
      <c r="J116" s="929"/>
      <c r="K116" s="929"/>
      <c r="L116" s="929"/>
      <c r="M116" s="929"/>
      <c r="N116" s="929"/>
      <c r="O116" s="929"/>
    </row>
    <row r="117" spans="3:15" ht="22.5" customHeight="1">
      <c r="C117" s="985"/>
      <c r="D117" s="929"/>
      <c r="E117" s="929"/>
      <c r="F117" s="929"/>
      <c r="G117" s="929"/>
      <c r="H117" s="929"/>
      <c r="I117" s="929"/>
      <c r="J117" s="929"/>
      <c r="K117" s="929"/>
      <c r="L117" s="929"/>
      <c r="M117" s="929"/>
      <c r="N117" s="929"/>
      <c r="O117" s="929"/>
    </row>
    <row r="118" spans="3:15" ht="22.5" customHeight="1">
      <c r="C118" s="985"/>
      <c r="D118" s="929"/>
      <c r="E118" s="929"/>
      <c r="F118" s="929"/>
      <c r="G118" s="929"/>
      <c r="H118" s="929"/>
      <c r="I118" s="929"/>
      <c r="J118" s="929"/>
      <c r="K118" s="929"/>
      <c r="L118" s="929"/>
      <c r="M118" s="929"/>
      <c r="N118" s="929"/>
      <c r="O118" s="929"/>
    </row>
    <row r="119" spans="3:15" ht="22.5" customHeight="1">
      <c r="C119" s="985"/>
      <c r="D119" s="929"/>
      <c r="E119" s="929"/>
      <c r="F119" s="929"/>
      <c r="G119" s="929"/>
      <c r="H119" s="929"/>
      <c r="I119" s="929"/>
      <c r="J119" s="929"/>
      <c r="K119" s="929"/>
      <c r="L119" s="929"/>
      <c r="M119" s="929"/>
      <c r="N119" s="929"/>
      <c r="O119" s="929"/>
    </row>
    <row r="120" spans="3:15" ht="22.5" customHeight="1">
      <c r="C120" s="985"/>
      <c r="D120" s="929"/>
      <c r="E120" s="929"/>
      <c r="F120" s="929"/>
      <c r="G120" s="929"/>
      <c r="H120" s="929"/>
      <c r="I120" s="929"/>
      <c r="J120" s="929"/>
      <c r="K120" s="929"/>
      <c r="L120" s="929"/>
      <c r="M120" s="929"/>
      <c r="N120" s="929"/>
      <c r="O120" s="929"/>
    </row>
    <row r="121" spans="3:15" ht="22.5" customHeight="1">
      <c r="C121" s="985"/>
      <c r="D121" s="929"/>
      <c r="E121" s="929"/>
      <c r="F121" s="929"/>
      <c r="G121" s="929"/>
      <c r="H121" s="929"/>
      <c r="I121" s="929"/>
      <c r="J121" s="929"/>
      <c r="K121" s="929"/>
      <c r="L121" s="929"/>
      <c r="M121" s="929"/>
      <c r="N121" s="929"/>
      <c r="O121" s="929"/>
    </row>
    <row r="122" spans="3:15" ht="22.5" customHeight="1">
      <c r="C122" s="985"/>
      <c r="D122" s="929"/>
      <c r="E122" s="929"/>
      <c r="F122" s="929"/>
      <c r="G122" s="929"/>
      <c r="H122" s="929"/>
      <c r="I122" s="929"/>
      <c r="J122" s="929"/>
      <c r="K122" s="929"/>
      <c r="L122" s="929"/>
      <c r="M122" s="929"/>
      <c r="N122" s="929"/>
      <c r="O122" s="929"/>
    </row>
    <row r="123" spans="3:15" ht="22.5" customHeight="1">
      <c r="C123" s="985"/>
      <c r="D123" s="929"/>
      <c r="E123" s="929"/>
      <c r="F123" s="929"/>
      <c r="G123" s="929"/>
      <c r="H123" s="929"/>
      <c r="I123" s="929"/>
      <c r="J123" s="929"/>
      <c r="K123" s="929"/>
      <c r="L123" s="929"/>
      <c r="M123" s="929"/>
      <c r="N123" s="929"/>
      <c r="O123" s="929"/>
    </row>
    <row r="124" spans="3:15" ht="22.5" customHeight="1">
      <c r="C124" s="985"/>
      <c r="D124" s="929"/>
      <c r="E124" s="929"/>
      <c r="F124" s="929"/>
      <c r="G124" s="929"/>
      <c r="H124" s="929"/>
      <c r="I124" s="929"/>
      <c r="J124" s="929"/>
      <c r="K124" s="929"/>
      <c r="L124" s="929"/>
      <c r="M124" s="929"/>
      <c r="N124" s="929"/>
      <c r="O124" s="929"/>
    </row>
    <row r="125" spans="3:15" ht="22.5" customHeight="1">
      <c r="C125" s="985"/>
      <c r="D125" s="929"/>
      <c r="E125" s="929"/>
      <c r="F125" s="929"/>
      <c r="G125" s="929"/>
      <c r="H125" s="929"/>
      <c r="I125" s="929"/>
      <c r="J125" s="929"/>
      <c r="K125" s="929"/>
      <c r="L125" s="929"/>
      <c r="M125" s="929"/>
      <c r="N125" s="929"/>
      <c r="O125" s="929"/>
    </row>
    <row r="126" spans="3:15" ht="22.5" customHeight="1">
      <c r="C126" s="985"/>
      <c r="D126" s="929"/>
      <c r="E126" s="929"/>
      <c r="F126" s="929"/>
      <c r="G126" s="929"/>
      <c r="H126" s="929"/>
      <c r="I126" s="929"/>
      <c r="J126" s="929"/>
      <c r="K126" s="929"/>
      <c r="L126" s="929"/>
      <c r="M126" s="929"/>
      <c r="N126" s="929"/>
      <c r="O126" s="929"/>
    </row>
    <row r="127" spans="3:15" ht="22.5" customHeight="1">
      <c r="C127" s="985"/>
      <c r="D127" s="929"/>
      <c r="E127" s="929"/>
      <c r="F127" s="929"/>
      <c r="G127" s="929"/>
      <c r="H127" s="929"/>
      <c r="I127" s="929"/>
      <c r="J127" s="929"/>
      <c r="K127" s="929"/>
      <c r="L127" s="929"/>
      <c r="M127" s="929"/>
      <c r="N127" s="929"/>
      <c r="O127" s="929"/>
    </row>
    <row r="128" spans="3:15" ht="22.5" customHeight="1">
      <c r="C128" s="985"/>
      <c r="D128" s="929"/>
      <c r="E128" s="929"/>
      <c r="F128" s="929"/>
      <c r="G128" s="929"/>
      <c r="H128" s="929"/>
      <c r="I128" s="929"/>
      <c r="J128" s="929"/>
      <c r="K128" s="929"/>
      <c r="L128" s="929"/>
      <c r="M128" s="929"/>
      <c r="N128" s="929"/>
      <c r="O128" s="929"/>
    </row>
    <row r="129" spans="3:15" ht="22.5" customHeight="1">
      <c r="C129" s="985"/>
      <c r="D129" s="929"/>
      <c r="E129" s="929"/>
      <c r="F129" s="929"/>
      <c r="G129" s="929"/>
      <c r="H129" s="929"/>
      <c r="I129" s="929"/>
      <c r="J129" s="929"/>
      <c r="K129" s="929"/>
      <c r="L129" s="929"/>
      <c r="M129" s="929"/>
      <c r="N129" s="929"/>
      <c r="O129" s="929"/>
    </row>
    <row r="130" spans="3:15" ht="22.5" customHeight="1">
      <c r="C130" s="985"/>
      <c r="D130" s="929"/>
      <c r="E130" s="929"/>
      <c r="F130" s="929"/>
      <c r="G130" s="929"/>
      <c r="H130" s="929"/>
      <c r="I130" s="929"/>
      <c r="J130" s="929"/>
      <c r="K130" s="929"/>
      <c r="L130" s="929"/>
      <c r="M130" s="929"/>
      <c r="N130" s="929"/>
      <c r="O130" s="929"/>
    </row>
    <row r="131" spans="3:15" ht="22.5" customHeight="1">
      <c r="C131" s="985"/>
      <c r="D131" s="929"/>
      <c r="E131" s="929"/>
      <c r="F131" s="929"/>
      <c r="G131" s="929"/>
      <c r="H131" s="929"/>
      <c r="I131" s="929"/>
      <c r="J131" s="929"/>
      <c r="K131" s="929"/>
      <c r="L131" s="929"/>
      <c r="M131" s="929"/>
      <c r="N131" s="929"/>
      <c r="O131" s="929"/>
    </row>
    <row r="132" spans="3:15" ht="22.5" customHeight="1">
      <c r="C132" s="985"/>
      <c r="D132" s="929"/>
      <c r="E132" s="929"/>
      <c r="F132" s="929"/>
      <c r="G132" s="929"/>
      <c r="H132" s="929"/>
      <c r="I132" s="929"/>
      <c r="J132" s="929"/>
      <c r="K132" s="929"/>
      <c r="L132" s="929"/>
      <c r="M132" s="929"/>
      <c r="N132" s="929"/>
      <c r="O132" s="929"/>
    </row>
    <row r="133" spans="3:15" ht="22.5" customHeight="1">
      <c r="C133" s="985"/>
      <c r="D133" s="929"/>
      <c r="E133" s="929"/>
      <c r="F133" s="929"/>
      <c r="G133" s="929"/>
      <c r="H133" s="929"/>
      <c r="I133" s="929"/>
      <c r="J133" s="929"/>
      <c r="K133" s="929"/>
      <c r="L133" s="929"/>
      <c r="M133" s="929"/>
      <c r="N133" s="929"/>
      <c r="O133" s="929"/>
    </row>
    <row r="134" spans="3:15" ht="22.5" customHeight="1">
      <c r="C134" s="985"/>
      <c r="D134" s="929"/>
      <c r="E134" s="929"/>
      <c r="F134" s="929"/>
      <c r="G134" s="929"/>
      <c r="H134" s="929"/>
      <c r="I134" s="929"/>
      <c r="J134" s="929"/>
      <c r="K134" s="929"/>
      <c r="L134" s="929"/>
      <c r="M134" s="929"/>
      <c r="N134" s="929"/>
      <c r="O134" s="929"/>
    </row>
    <row r="135" spans="3:15" ht="22.5" customHeight="1">
      <c r="C135" s="985"/>
      <c r="D135" s="929"/>
      <c r="E135" s="929"/>
      <c r="F135" s="929"/>
      <c r="G135" s="929"/>
      <c r="H135" s="929"/>
      <c r="I135" s="929"/>
      <c r="J135" s="929"/>
      <c r="K135" s="929"/>
      <c r="L135" s="929"/>
      <c r="M135" s="929"/>
      <c r="N135" s="929"/>
      <c r="O135" s="929"/>
    </row>
    <row r="136" spans="3:15" ht="22.5" customHeight="1">
      <c r="C136" s="985"/>
      <c r="D136" s="929"/>
      <c r="E136" s="929"/>
      <c r="F136" s="929"/>
      <c r="G136" s="929"/>
      <c r="H136" s="929"/>
      <c r="I136" s="929"/>
      <c r="J136" s="929"/>
      <c r="K136" s="929"/>
      <c r="L136" s="929"/>
      <c r="M136" s="929"/>
      <c r="N136" s="929"/>
      <c r="O136" s="929"/>
    </row>
    <row r="137" spans="3:15" ht="22.5" customHeight="1">
      <c r="C137" s="985"/>
      <c r="D137" s="929"/>
      <c r="E137" s="929"/>
      <c r="F137" s="929"/>
      <c r="G137" s="929"/>
      <c r="H137" s="929"/>
      <c r="I137" s="929"/>
      <c r="J137" s="929"/>
      <c r="K137" s="929"/>
      <c r="L137" s="929"/>
      <c r="M137" s="929"/>
      <c r="N137" s="929"/>
      <c r="O137" s="929"/>
    </row>
    <row r="138" spans="3:15" ht="22.5" customHeight="1">
      <c r="C138" s="985"/>
      <c r="D138" s="929"/>
      <c r="E138" s="929"/>
      <c r="F138" s="929"/>
      <c r="G138" s="929"/>
      <c r="H138" s="929"/>
      <c r="I138" s="929"/>
      <c r="J138" s="929"/>
      <c r="K138" s="929"/>
      <c r="L138" s="929"/>
      <c r="M138" s="929"/>
      <c r="N138" s="929"/>
      <c r="O138" s="929"/>
    </row>
    <row r="139" spans="3:15" ht="22.5" customHeight="1">
      <c r="C139" s="985"/>
      <c r="D139" s="929"/>
      <c r="E139" s="929"/>
      <c r="F139" s="929"/>
      <c r="G139" s="929"/>
      <c r="H139" s="929"/>
      <c r="I139" s="929"/>
      <c r="J139" s="929"/>
      <c r="K139" s="929"/>
      <c r="L139" s="929"/>
      <c r="M139" s="929"/>
      <c r="N139" s="929"/>
      <c r="O139" s="929"/>
    </row>
    <row r="140" spans="3:15" ht="22.5" customHeight="1">
      <c r="C140" s="985"/>
      <c r="D140" s="929"/>
      <c r="E140" s="929"/>
      <c r="F140" s="929"/>
      <c r="G140" s="929"/>
      <c r="H140" s="929"/>
      <c r="I140" s="929"/>
      <c r="J140" s="929"/>
      <c r="K140" s="929"/>
      <c r="L140" s="929"/>
      <c r="M140" s="929"/>
      <c r="N140" s="929"/>
      <c r="O140" s="929"/>
    </row>
    <row r="141" spans="3:15" ht="22.5" customHeight="1">
      <c r="C141" s="985"/>
      <c r="D141" s="929"/>
      <c r="E141" s="929"/>
      <c r="F141" s="929"/>
      <c r="G141" s="929"/>
      <c r="H141" s="929"/>
      <c r="I141" s="929"/>
      <c r="J141" s="929"/>
      <c r="K141" s="929"/>
      <c r="L141" s="929"/>
      <c r="M141" s="929"/>
      <c r="N141" s="929"/>
      <c r="O141" s="929"/>
    </row>
    <row r="142" spans="3:15" ht="22.5" customHeight="1">
      <c r="C142" s="985"/>
      <c r="D142" s="929"/>
      <c r="E142" s="929"/>
      <c r="F142" s="929"/>
      <c r="G142" s="929"/>
      <c r="H142" s="929"/>
      <c r="I142" s="929"/>
      <c r="J142" s="929"/>
      <c r="K142" s="929"/>
      <c r="L142" s="929"/>
      <c r="M142" s="929"/>
      <c r="N142" s="929"/>
      <c r="O142" s="929"/>
    </row>
    <row r="143" spans="3:15" ht="22.5" customHeight="1">
      <c r="C143" s="985"/>
      <c r="D143" s="929"/>
      <c r="E143" s="929"/>
      <c r="F143" s="929"/>
      <c r="G143" s="929"/>
      <c r="H143" s="929"/>
      <c r="I143" s="929"/>
      <c r="J143" s="929"/>
      <c r="K143" s="929"/>
      <c r="L143" s="929"/>
      <c r="M143" s="929"/>
      <c r="N143" s="929"/>
      <c r="O143" s="929"/>
    </row>
    <row r="144" spans="3:15" ht="22.5" customHeight="1">
      <c r="C144" s="985"/>
      <c r="D144" s="929"/>
      <c r="E144" s="929"/>
      <c r="F144" s="929"/>
      <c r="G144" s="929"/>
      <c r="H144" s="929"/>
      <c r="I144" s="929"/>
      <c r="J144" s="929"/>
      <c r="K144" s="929"/>
      <c r="L144" s="929"/>
      <c r="M144" s="929"/>
      <c r="N144" s="929"/>
      <c r="O144" s="929"/>
    </row>
    <row r="145" spans="3:15" ht="22.5" customHeight="1">
      <c r="C145" s="985"/>
      <c r="D145" s="929"/>
      <c r="E145" s="929"/>
      <c r="F145" s="929"/>
      <c r="G145" s="929"/>
      <c r="H145" s="929"/>
      <c r="I145" s="929"/>
      <c r="J145" s="929"/>
      <c r="K145" s="929"/>
      <c r="L145" s="929"/>
      <c r="M145" s="929"/>
      <c r="N145" s="929"/>
      <c r="O145" s="929"/>
    </row>
    <row r="146" spans="3:15" ht="22.5" customHeight="1">
      <c r="C146" s="985"/>
      <c r="D146" s="929"/>
      <c r="E146" s="929"/>
      <c r="F146" s="929"/>
      <c r="G146" s="929"/>
      <c r="H146" s="929"/>
      <c r="I146" s="929"/>
      <c r="J146" s="929"/>
      <c r="K146" s="929"/>
      <c r="L146" s="929"/>
      <c r="M146" s="929"/>
      <c r="N146" s="929"/>
      <c r="O146" s="929"/>
    </row>
    <row r="147" spans="3:15" ht="22.5" customHeight="1">
      <c r="C147" s="985"/>
      <c r="D147" s="929"/>
      <c r="E147" s="929"/>
      <c r="F147" s="929"/>
      <c r="G147" s="929"/>
      <c r="H147" s="929"/>
      <c r="I147" s="929"/>
      <c r="J147" s="929"/>
      <c r="K147" s="929"/>
      <c r="L147" s="929"/>
      <c r="M147" s="929"/>
      <c r="N147" s="929"/>
      <c r="O147" s="929"/>
    </row>
    <row r="148" spans="3:15" ht="22.5" customHeight="1">
      <c r="C148" s="985"/>
      <c r="D148" s="929"/>
      <c r="E148" s="929"/>
      <c r="F148" s="929"/>
      <c r="G148" s="929"/>
      <c r="H148" s="929"/>
      <c r="I148" s="929"/>
      <c r="J148" s="929"/>
      <c r="K148" s="929"/>
      <c r="L148" s="929"/>
      <c r="M148" s="929"/>
      <c r="N148" s="929"/>
      <c r="O148" s="929"/>
    </row>
    <row r="149" spans="3:15" ht="22.5" customHeight="1">
      <c r="C149" s="985"/>
      <c r="D149" s="929"/>
      <c r="E149" s="929"/>
      <c r="F149" s="929"/>
      <c r="G149" s="929"/>
      <c r="H149" s="929"/>
      <c r="I149" s="929"/>
      <c r="J149" s="929"/>
      <c r="K149" s="929"/>
      <c r="L149" s="929"/>
      <c r="M149" s="929"/>
      <c r="N149" s="929"/>
      <c r="O149" s="929"/>
    </row>
    <row r="150" spans="3:15" ht="22.5" customHeight="1">
      <c r="C150" s="985"/>
      <c r="D150" s="929"/>
      <c r="E150" s="929"/>
      <c r="F150" s="929"/>
      <c r="G150" s="929"/>
      <c r="H150" s="929"/>
      <c r="I150" s="929"/>
      <c r="J150" s="929"/>
      <c r="K150" s="929"/>
      <c r="L150" s="929"/>
      <c r="M150" s="929"/>
      <c r="N150" s="929"/>
      <c r="O150" s="929"/>
    </row>
    <row r="151" spans="3:15" ht="22.5" customHeight="1">
      <c r="C151" s="985"/>
      <c r="D151" s="929"/>
      <c r="E151" s="929"/>
      <c r="F151" s="929"/>
      <c r="G151" s="929"/>
      <c r="H151" s="929"/>
      <c r="I151" s="929"/>
      <c r="J151" s="929"/>
      <c r="K151" s="929"/>
      <c r="L151" s="929"/>
      <c r="M151" s="929"/>
      <c r="N151" s="929"/>
      <c r="O151" s="929"/>
    </row>
    <row r="152" spans="3:15" ht="22.5" customHeight="1">
      <c r="C152" s="985"/>
      <c r="D152" s="929"/>
      <c r="E152" s="929"/>
      <c r="F152" s="929"/>
      <c r="G152" s="929"/>
      <c r="H152" s="929"/>
      <c r="I152" s="929"/>
      <c r="J152" s="929"/>
      <c r="K152" s="929"/>
      <c r="L152" s="929"/>
      <c r="M152" s="929"/>
      <c r="N152" s="929"/>
      <c r="O152" s="929"/>
    </row>
    <row r="153" spans="3:15" ht="22.5" customHeight="1">
      <c r="C153" s="985"/>
      <c r="D153" s="929"/>
      <c r="E153" s="929"/>
      <c r="F153" s="929"/>
      <c r="G153" s="929"/>
      <c r="H153" s="929"/>
      <c r="I153" s="929"/>
      <c r="J153" s="929"/>
      <c r="K153" s="929"/>
      <c r="L153" s="929"/>
      <c r="M153" s="929"/>
      <c r="N153" s="929"/>
      <c r="O153" s="929"/>
    </row>
    <row r="154" spans="3:15" ht="22.5" customHeight="1">
      <c r="C154" s="985"/>
      <c r="D154" s="929"/>
      <c r="E154" s="929"/>
      <c r="F154" s="929"/>
      <c r="G154" s="929"/>
      <c r="H154" s="929"/>
      <c r="I154" s="929"/>
      <c r="J154" s="929"/>
      <c r="K154" s="929"/>
      <c r="L154" s="929"/>
      <c r="M154" s="929"/>
      <c r="N154" s="929"/>
      <c r="O154" s="929"/>
    </row>
    <row r="155" spans="3:15" ht="22.5" customHeight="1">
      <c r="C155" s="985"/>
      <c r="D155" s="929"/>
      <c r="E155" s="929"/>
      <c r="F155" s="929"/>
      <c r="G155" s="929"/>
      <c r="H155" s="929"/>
      <c r="I155" s="929"/>
      <c r="J155" s="929"/>
      <c r="K155" s="929"/>
      <c r="L155" s="929"/>
      <c r="M155" s="929"/>
      <c r="N155" s="929"/>
      <c r="O155" s="929"/>
    </row>
    <row r="156" spans="3:15" ht="22.5" customHeight="1">
      <c r="C156" s="985"/>
      <c r="D156" s="929"/>
      <c r="E156" s="929"/>
      <c r="F156" s="929"/>
      <c r="G156" s="929"/>
      <c r="H156" s="929"/>
      <c r="I156" s="929"/>
      <c r="J156" s="929"/>
      <c r="K156" s="929"/>
      <c r="L156" s="929"/>
      <c r="M156" s="929"/>
      <c r="N156" s="929"/>
      <c r="O156" s="929"/>
    </row>
    <row r="157" spans="3:15" ht="22.5" customHeight="1">
      <c r="C157" s="985"/>
      <c r="D157" s="929"/>
      <c r="E157" s="929"/>
      <c r="F157" s="929"/>
      <c r="G157" s="929"/>
      <c r="H157" s="929"/>
      <c r="I157" s="929"/>
      <c r="J157" s="929"/>
      <c r="K157" s="929"/>
      <c r="L157" s="929"/>
      <c r="M157" s="929"/>
      <c r="N157" s="929"/>
      <c r="O157" s="929"/>
    </row>
    <row r="158" spans="3:15" ht="22.5" customHeight="1">
      <c r="C158" s="985"/>
      <c r="D158" s="929"/>
      <c r="E158" s="929"/>
      <c r="F158" s="929"/>
      <c r="G158" s="929"/>
      <c r="H158" s="929"/>
      <c r="I158" s="929"/>
      <c r="J158" s="929"/>
      <c r="K158" s="929"/>
      <c r="L158" s="929"/>
      <c r="M158" s="929"/>
      <c r="N158" s="929"/>
      <c r="O158" s="929"/>
    </row>
    <row r="159" spans="3:15" ht="22.5" customHeight="1">
      <c r="C159" s="985"/>
      <c r="D159" s="929"/>
      <c r="E159" s="929"/>
      <c r="F159" s="929"/>
      <c r="G159" s="929"/>
      <c r="H159" s="929"/>
      <c r="I159" s="929"/>
      <c r="J159" s="929"/>
      <c r="K159" s="929"/>
      <c r="L159" s="929"/>
      <c r="M159" s="929"/>
      <c r="N159" s="929"/>
      <c r="O159" s="929"/>
    </row>
    <row r="160" spans="3:15" ht="22.5" customHeight="1">
      <c r="C160" s="985"/>
      <c r="D160" s="929"/>
      <c r="E160" s="929"/>
      <c r="F160" s="929"/>
      <c r="G160" s="929"/>
      <c r="H160" s="929"/>
      <c r="I160" s="929"/>
      <c r="J160" s="929"/>
      <c r="K160" s="929"/>
      <c r="L160" s="929"/>
      <c r="M160" s="929"/>
      <c r="N160" s="929"/>
      <c r="O160" s="929"/>
    </row>
    <row r="161" spans="3:15" ht="22.5" customHeight="1">
      <c r="C161" s="985"/>
      <c r="D161" s="929"/>
      <c r="E161" s="929"/>
      <c r="F161" s="929"/>
      <c r="G161" s="929"/>
      <c r="H161" s="929"/>
      <c r="I161" s="929"/>
      <c r="J161" s="929"/>
      <c r="K161" s="929"/>
      <c r="L161" s="929"/>
      <c r="M161" s="929"/>
      <c r="N161" s="929"/>
      <c r="O161" s="929"/>
    </row>
    <row r="162" spans="3:15" ht="22.5" customHeight="1">
      <c r="C162" s="985"/>
      <c r="D162" s="929"/>
      <c r="E162" s="929"/>
      <c r="F162" s="929"/>
      <c r="G162" s="929"/>
      <c r="H162" s="929"/>
      <c r="I162" s="929"/>
      <c r="J162" s="929"/>
      <c r="K162" s="929"/>
      <c r="L162" s="929"/>
      <c r="M162" s="929"/>
      <c r="N162" s="929"/>
      <c r="O162" s="929"/>
    </row>
    <row r="163" spans="3:15" ht="22.5" customHeight="1">
      <c r="C163" s="985"/>
      <c r="D163" s="929"/>
      <c r="E163" s="929"/>
      <c r="F163" s="929"/>
      <c r="G163" s="929"/>
      <c r="H163" s="929"/>
      <c r="I163" s="929"/>
      <c r="J163" s="929"/>
      <c r="K163" s="929"/>
      <c r="L163" s="929"/>
      <c r="M163" s="929"/>
      <c r="N163" s="929"/>
      <c r="O163" s="929"/>
    </row>
    <row r="164" spans="3:15" ht="22.5" customHeight="1">
      <c r="C164" s="985"/>
      <c r="D164" s="929"/>
      <c r="E164" s="929"/>
      <c r="F164" s="929"/>
      <c r="G164" s="929"/>
      <c r="H164" s="929"/>
      <c r="I164" s="929"/>
      <c r="J164" s="929"/>
      <c r="K164" s="929"/>
      <c r="L164" s="929"/>
      <c r="M164" s="929"/>
      <c r="N164" s="929"/>
      <c r="O164" s="929"/>
    </row>
    <row r="165" spans="3:15" ht="22.5" customHeight="1">
      <c r="C165" s="985"/>
      <c r="D165" s="929"/>
      <c r="E165" s="929"/>
      <c r="F165" s="929"/>
      <c r="G165" s="929"/>
      <c r="H165" s="929"/>
      <c r="I165" s="929"/>
      <c r="J165" s="929"/>
      <c r="K165" s="929"/>
      <c r="L165" s="929"/>
      <c r="M165" s="929"/>
      <c r="N165" s="929"/>
      <c r="O165" s="929"/>
    </row>
    <row r="166" spans="3:15" ht="22.5" customHeight="1">
      <c r="C166" s="985"/>
      <c r="D166" s="929"/>
      <c r="E166" s="929"/>
      <c r="F166" s="929"/>
      <c r="G166" s="929"/>
      <c r="H166" s="929"/>
      <c r="I166" s="929"/>
      <c r="J166" s="929"/>
      <c r="K166" s="929"/>
      <c r="L166" s="929"/>
      <c r="M166" s="929"/>
      <c r="N166" s="929"/>
      <c r="O166" s="929"/>
    </row>
    <row r="167" spans="3:15" ht="22.5" customHeight="1">
      <c r="C167" s="985"/>
      <c r="D167" s="929"/>
      <c r="E167" s="929"/>
      <c r="F167" s="929"/>
      <c r="G167" s="929"/>
      <c r="H167" s="929"/>
      <c r="I167" s="929"/>
      <c r="J167" s="929"/>
      <c r="K167" s="929"/>
      <c r="L167" s="929"/>
      <c r="M167" s="929"/>
      <c r="N167" s="929"/>
      <c r="O167" s="929"/>
    </row>
    <row r="168" spans="3:15" ht="22.5" customHeight="1">
      <c r="C168" s="985"/>
      <c r="D168" s="929"/>
      <c r="E168" s="929"/>
      <c r="F168" s="929"/>
      <c r="G168" s="929"/>
      <c r="H168" s="929"/>
      <c r="I168" s="929"/>
      <c r="J168" s="929"/>
      <c r="K168" s="929"/>
      <c r="L168" s="929"/>
      <c r="M168" s="929"/>
      <c r="N168" s="929"/>
      <c r="O168" s="929"/>
    </row>
    <row r="169" spans="3:15" ht="22.5" customHeight="1">
      <c r="C169" s="985"/>
      <c r="D169" s="929"/>
      <c r="E169" s="929"/>
      <c r="F169" s="929"/>
      <c r="G169" s="929"/>
      <c r="H169" s="929"/>
      <c r="I169" s="929"/>
      <c r="J169" s="929"/>
      <c r="K169" s="929"/>
      <c r="L169" s="929"/>
      <c r="M169" s="929"/>
      <c r="N169" s="929"/>
      <c r="O169" s="929"/>
    </row>
    <row r="170" spans="3:15" ht="22.5" customHeight="1">
      <c r="C170" s="985"/>
      <c r="D170" s="929"/>
      <c r="E170" s="929"/>
      <c r="F170" s="929"/>
      <c r="G170" s="929"/>
      <c r="H170" s="929"/>
      <c r="I170" s="929"/>
      <c r="J170" s="929"/>
      <c r="K170" s="929"/>
      <c r="L170" s="929"/>
      <c r="M170" s="929"/>
      <c r="N170" s="929"/>
      <c r="O170" s="929"/>
    </row>
    <row r="171" spans="3:15" ht="22.5" customHeight="1">
      <c r="C171" s="985"/>
      <c r="D171" s="929"/>
      <c r="E171" s="929"/>
      <c r="F171" s="929"/>
      <c r="G171" s="929"/>
      <c r="H171" s="929"/>
      <c r="I171" s="929"/>
      <c r="J171" s="929"/>
      <c r="K171" s="929"/>
      <c r="L171" s="929"/>
      <c r="M171" s="929"/>
      <c r="N171" s="929"/>
      <c r="O171" s="929"/>
    </row>
    <row r="172" spans="3:15" ht="22.5" customHeight="1">
      <c r="C172" s="985"/>
      <c r="D172" s="929"/>
      <c r="E172" s="929"/>
      <c r="F172" s="929"/>
      <c r="G172" s="929"/>
      <c r="H172" s="929"/>
      <c r="I172" s="929"/>
      <c r="J172" s="929"/>
      <c r="K172" s="929"/>
      <c r="L172" s="929"/>
      <c r="M172" s="929"/>
      <c r="N172" s="929"/>
      <c r="O172" s="929"/>
    </row>
    <row r="173" spans="3:15" ht="22.5" customHeight="1">
      <c r="C173" s="985"/>
      <c r="D173" s="929"/>
      <c r="E173" s="929"/>
      <c r="F173" s="929"/>
      <c r="G173" s="929"/>
      <c r="H173" s="929"/>
      <c r="I173" s="929"/>
      <c r="J173" s="929"/>
      <c r="K173" s="929"/>
      <c r="L173" s="929"/>
      <c r="M173" s="929"/>
      <c r="N173" s="929"/>
      <c r="O173" s="929"/>
    </row>
    <row r="174" spans="3:15" ht="22.5" customHeight="1">
      <c r="C174" s="985"/>
      <c r="D174" s="929"/>
      <c r="E174" s="929"/>
      <c r="F174" s="929"/>
      <c r="G174" s="929"/>
      <c r="H174" s="929"/>
      <c r="I174" s="929"/>
      <c r="J174" s="929"/>
      <c r="K174" s="929"/>
      <c r="L174" s="929"/>
      <c r="M174" s="929"/>
      <c r="N174" s="929"/>
      <c r="O174" s="929"/>
    </row>
    <row r="175" spans="3:15" ht="22.5" customHeight="1">
      <c r="C175" s="985"/>
      <c r="D175" s="929"/>
      <c r="E175" s="929"/>
      <c r="F175" s="929"/>
      <c r="G175" s="929"/>
      <c r="H175" s="929"/>
      <c r="I175" s="929"/>
      <c r="J175" s="929"/>
      <c r="K175" s="929"/>
      <c r="L175" s="929"/>
      <c r="M175" s="929"/>
      <c r="N175" s="929"/>
      <c r="O175" s="929"/>
    </row>
    <row r="176" spans="3:15" ht="22.5" customHeight="1">
      <c r="C176" s="985"/>
      <c r="D176" s="929"/>
      <c r="E176" s="929"/>
      <c r="F176" s="929"/>
      <c r="G176" s="929"/>
      <c r="H176" s="929"/>
      <c r="I176" s="929"/>
      <c r="J176" s="929"/>
      <c r="K176" s="929"/>
      <c r="L176" s="929"/>
      <c r="M176" s="929"/>
      <c r="N176" s="929"/>
      <c r="O176" s="929"/>
    </row>
    <row r="177" spans="3:15" ht="22.5" customHeight="1">
      <c r="C177" s="985"/>
      <c r="D177" s="929"/>
      <c r="E177" s="929"/>
      <c r="F177" s="929"/>
      <c r="G177" s="929"/>
      <c r="H177" s="929"/>
      <c r="I177" s="929"/>
      <c r="J177" s="929"/>
      <c r="K177" s="929"/>
      <c r="L177" s="929"/>
      <c r="M177" s="929"/>
      <c r="N177" s="929"/>
      <c r="O177" s="929"/>
    </row>
    <row r="178" spans="3:15" ht="22.5" customHeight="1">
      <c r="C178" s="985"/>
      <c r="D178" s="929"/>
      <c r="E178" s="929"/>
      <c r="F178" s="929"/>
      <c r="G178" s="929"/>
      <c r="H178" s="929"/>
      <c r="I178" s="929"/>
      <c r="J178" s="929"/>
      <c r="K178" s="929"/>
      <c r="L178" s="929"/>
      <c r="M178" s="929"/>
      <c r="N178" s="929"/>
      <c r="O178" s="929"/>
    </row>
    <row r="179" spans="3:15" ht="22.5" customHeight="1">
      <c r="C179" s="985"/>
      <c r="D179" s="929"/>
      <c r="E179" s="929"/>
      <c r="F179" s="929"/>
      <c r="G179" s="929"/>
      <c r="H179" s="929"/>
      <c r="I179" s="929"/>
      <c r="J179" s="929"/>
      <c r="K179" s="929"/>
      <c r="L179" s="929"/>
      <c r="M179" s="929"/>
      <c r="N179" s="929"/>
      <c r="O179" s="929"/>
    </row>
    <row r="180" spans="3:15" ht="22.5" customHeight="1">
      <c r="C180" s="985"/>
      <c r="D180" s="929"/>
      <c r="E180" s="929"/>
      <c r="F180" s="929"/>
      <c r="G180" s="929"/>
      <c r="H180" s="929"/>
      <c r="I180" s="929"/>
      <c r="J180" s="929"/>
      <c r="K180" s="929"/>
      <c r="L180" s="929"/>
      <c r="M180" s="929"/>
      <c r="N180" s="929"/>
      <c r="O180" s="929"/>
    </row>
    <row r="181" spans="3:15" ht="22.5" customHeight="1">
      <c r="C181" s="985"/>
      <c r="D181" s="929"/>
      <c r="E181" s="929"/>
      <c r="F181" s="929"/>
      <c r="G181" s="929"/>
      <c r="H181" s="929"/>
      <c r="I181" s="929"/>
      <c r="J181" s="929"/>
      <c r="K181" s="929"/>
      <c r="L181" s="929"/>
      <c r="M181" s="929"/>
      <c r="N181" s="929"/>
      <c r="O181" s="929"/>
    </row>
    <row r="182" spans="3:15" ht="22.5" customHeight="1">
      <c r="C182" s="985"/>
      <c r="D182" s="929"/>
      <c r="E182" s="929"/>
      <c r="F182" s="929"/>
      <c r="G182" s="929"/>
      <c r="H182" s="929"/>
      <c r="I182" s="929"/>
      <c r="J182" s="929"/>
      <c r="K182" s="929"/>
      <c r="L182" s="929"/>
      <c r="M182" s="929"/>
      <c r="N182" s="929"/>
      <c r="O182" s="929"/>
    </row>
    <row r="183" spans="3:15" ht="22.5" customHeight="1">
      <c r="C183" s="985"/>
      <c r="D183" s="929"/>
      <c r="E183" s="929"/>
      <c r="F183" s="929"/>
      <c r="G183" s="929"/>
      <c r="H183" s="929"/>
      <c r="I183" s="929"/>
      <c r="J183" s="929"/>
      <c r="K183" s="929"/>
      <c r="L183" s="929"/>
      <c r="M183" s="929"/>
      <c r="N183" s="929"/>
      <c r="O183" s="929"/>
    </row>
    <row r="184" spans="3:15" ht="22.5" customHeight="1">
      <c r="C184" s="985"/>
      <c r="D184" s="929"/>
      <c r="E184" s="929"/>
      <c r="F184" s="929"/>
      <c r="G184" s="929"/>
      <c r="H184" s="929"/>
      <c r="I184" s="929"/>
      <c r="J184" s="929"/>
      <c r="K184" s="929"/>
      <c r="L184" s="929"/>
      <c r="M184" s="929"/>
      <c r="N184" s="929"/>
      <c r="O184" s="929"/>
    </row>
    <row r="185" spans="3:15" ht="22.5" customHeight="1">
      <c r="C185" s="985"/>
      <c r="D185" s="929"/>
      <c r="E185" s="929"/>
      <c r="F185" s="929"/>
      <c r="G185" s="929"/>
      <c r="H185" s="929"/>
      <c r="I185" s="929"/>
      <c r="J185" s="929"/>
      <c r="K185" s="929"/>
      <c r="L185" s="929"/>
      <c r="M185" s="929"/>
      <c r="N185" s="929"/>
      <c r="O185" s="929"/>
    </row>
    <row r="186" spans="3:15" ht="22.5" customHeight="1">
      <c r="C186" s="985"/>
      <c r="D186" s="929"/>
      <c r="E186" s="929"/>
      <c r="F186" s="929"/>
      <c r="G186" s="929"/>
      <c r="H186" s="929"/>
      <c r="I186" s="929"/>
      <c r="J186" s="929"/>
      <c r="K186" s="929"/>
      <c r="L186" s="929"/>
      <c r="M186" s="929"/>
      <c r="N186" s="929"/>
      <c r="O186" s="929"/>
    </row>
    <row r="187" spans="3:15" ht="22.5" customHeight="1">
      <c r="C187" s="985"/>
      <c r="D187" s="929"/>
      <c r="E187" s="929"/>
      <c r="F187" s="929"/>
      <c r="G187" s="929"/>
      <c r="H187" s="929"/>
      <c r="I187" s="929"/>
      <c r="J187" s="929"/>
      <c r="K187" s="929"/>
      <c r="L187" s="929"/>
      <c r="M187" s="929"/>
      <c r="N187" s="929"/>
      <c r="O187" s="929"/>
    </row>
    <row r="188" spans="3:15" ht="22.5" customHeight="1">
      <c r="C188" s="985"/>
      <c r="D188" s="929"/>
      <c r="E188" s="929"/>
      <c r="F188" s="929"/>
      <c r="G188" s="929"/>
      <c r="H188" s="929"/>
      <c r="I188" s="929"/>
      <c r="J188" s="929"/>
      <c r="K188" s="929"/>
      <c r="L188" s="929"/>
      <c r="M188" s="929"/>
      <c r="N188" s="929"/>
      <c r="O188" s="929"/>
    </row>
    <row r="189" spans="3:15" ht="22.5" customHeight="1">
      <c r="C189" s="985"/>
      <c r="D189" s="929"/>
      <c r="E189" s="929"/>
      <c r="F189" s="929"/>
      <c r="G189" s="929"/>
      <c r="H189" s="929"/>
      <c r="I189" s="929"/>
      <c r="J189" s="929"/>
      <c r="K189" s="929"/>
      <c r="L189" s="929"/>
      <c r="M189" s="929"/>
      <c r="N189" s="929"/>
      <c r="O189" s="929"/>
    </row>
    <row r="190" spans="3:15" ht="22.5" customHeight="1">
      <c r="C190" s="985"/>
      <c r="D190" s="929"/>
      <c r="E190" s="929"/>
      <c r="F190" s="929"/>
      <c r="G190" s="929"/>
      <c r="H190" s="929"/>
      <c r="I190" s="929"/>
      <c r="J190" s="929"/>
      <c r="K190" s="929"/>
      <c r="L190" s="929"/>
      <c r="M190" s="929"/>
      <c r="N190" s="929"/>
      <c r="O190" s="929"/>
    </row>
    <row r="191" spans="3:15" ht="22.5" customHeight="1">
      <c r="C191" s="985"/>
      <c r="D191" s="929"/>
      <c r="E191" s="929"/>
      <c r="F191" s="929"/>
      <c r="G191" s="929"/>
      <c r="H191" s="929"/>
      <c r="I191" s="929"/>
      <c r="J191" s="929"/>
      <c r="K191" s="929"/>
      <c r="L191" s="929"/>
      <c r="M191" s="929"/>
      <c r="N191" s="929"/>
      <c r="O191" s="929"/>
    </row>
    <row r="192" spans="3:15" ht="22.5" customHeight="1">
      <c r="C192" s="985"/>
      <c r="D192" s="929"/>
      <c r="E192" s="929"/>
      <c r="F192" s="929"/>
      <c r="G192" s="929"/>
      <c r="H192" s="929"/>
      <c r="I192" s="929"/>
      <c r="J192" s="929"/>
      <c r="K192" s="929"/>
      <c r="L192" s="929"/>
      <c r="M192" s="929"/>
      <c r="N192" s="929"/>
      <c r="O192" s="929"/>
    </row>
    <row r="193" spans="3:15" ht="22.5" customHeight="1">
      <c r="C193" s="985"/>
      <c r="D193" s="929"/>
      <c r="E193" s="929"/>
      <c r="F193" s="929"/>
      <c r="G193" s="929"/>
      <c r="H193" s="929"/>
      <c r="I193" s="929"/>
      <c r="J193" s="929"/>
      <c r="K193" s="929"/>
      <c r="L193" s="929"/>
      <c r="M193" s="929"/>
      <c r="N193" s="929"/>
      <c r="O193" s="929"/>
    </row>
    <row r="194" spans="3:15" ht="22.5" customHeight="1">
      <c r="C194" s="985"/>
      <c r="D194" s="929"/>
      <c r="E194" s="929"/>
      <c r="F194" s="929"/>
      <c r="G194" s="929"/>
      <c r="H194" s="929"/>
      <c r="I194" s="929"/>
      <c r="J194" s="929"/>
      <c r="K194" s="929"/>
      <c r="L194" s="929"/>
      <c r="M194" s="929"/>
      <c r="N194" s="929"/>
      <c r="O194" s="929"/>
    </row>
    <row r="195" spans="3:15" ht="22.5" customHeight="1">
      <c r="C195" s="985"/>
      <c r="D195" s="929"/>
      <c r="E195" s="929"/>
      <c r="F195" s="929"/>
      <c r="G195" s="929"/>
      <c r="H195" s="929"/>
      <c r="I195" s="929"/>
      <c r="J195" s="929"/>
      <c r="K195" s="929"/>
      <c r="L195" s="929"/>
      <c r="M195" s="929"/>
      <c r="N195" s="929"/>
      <c r="O195" s="929"/>
    </row>
    <row r="196" spans="3:15" ht="22.5" customHeight="1">
      <c r="C196" s="985"/>
      <c r="D196" s="929"/>
      <c r="E196" s="929"/>
      <c r="F196" s="929"/>
      <c r="G196" s="929"/>
      <c r="H196" s="929"/>
      <c r="I196" s="929"/>
      <c r="J196" s="929"/>
      <c r="K196" s="929"/>
      <c r="L196" s="929"/>
      <c r="M196" s="929"/>
      <c r="N196" s="929"/>
      <c r="O196" s="929"/>
    </row>
    <row r="197" spans="3:15" ht="22.5" customHeight="1">
      <c r="C197" s="985"/>
      <c r="D197" s="929"/>
      <c r="E197" s="929"/>
      <c r="F197" s="929"/>
      <c r="G197" s="929"/>
      <c r="H197" s="929"/>
      <c r="I197" s="929"/>
      <c r="J197" s="929"/>
      <c r="K197" s="929"/>
      <c r="L197" s="929"/>
      <c r="M197" s="929"/>
      <c r="N197" s="929"/>
      <c r="O197" s="929"/>
    </row>
    <row r="198" spans="3:15" ht="22.5" customHeight="1">
      <c r="C198" s="985"/>
      <c r="D198" s="929"/>
      <c r="E198" s="929"/>
      <c r="F198" s="929"/>
      <c r="G198" s="929"/>
      <c r="H198" s="929"/>
      <c r="I198" s="929"/>
      <c r="J198" s="929"/>
      <c r="K198" s="929"/>
      <c r="L198" s="929"/>
      <c r="M198" s="929"/>
      <c r="N198" s="929"/>
      <c r="O198" s="929"/>
    </row>
    <row r="199" spans="3:15" ht="22.5" customHeight="1">
      <c r="C199" s="985"/>
      <c r="D199" s="929"/>
      <c r="E199" s="929"/>
      <c r="F199" s="929"/>
      <c r="G199" s="929"/>
      <c r="H199" s="929"/>
      <c r="I199" s="929"/>
      <c r="J199" s="929"/>
      <c r="K199" s="929"/>
      <c r="L199" s="929"/>
      <c r="M199" s="929"/>
      <c r="N199" s="929"/>
      <c r="O199" s="929"/>
    </row>
    <row r="200" spans="3:15" ht="22.5" customHeight="1">
      <c r="C200" s="985"/>
      <c r="D200" s="929"/>
      <c r="E200" s="929"/>
      <c r="F200" s="929"/>
      <c r="G200" s="929"/>
      <c r="H200" s="929"/>
      <c r="I200" s="929"/>
      <c r="J200" s="929"/>
      <c r="K200" s="929"/>
      <c r="L200" s="929"/>
      <c r="M200" s="929"/>
      <c r="N200" s="929"/>
      <c r="O200" s="929"/>
    </row>
    <row r="201" spans="3:15" ht="22.5" customHeight="1">
      <c r="C201" s="985"/>
      <c r="D201" s="929"/>
      <c r="E201" s="929"/>
      <c r="F201" s="929"/>
      <c r="G201" s="929"/>
      <c r="H201" s="929"/>
      <c r="I201" s="929"/>
      <c r="J201" s="929"/>
      <c r="K201" s="929"/>
      <c r="L201" s="929"/>
      <c r="M201" s="929"/>
      <c r="N201" s="929"/>
      <c r="O201" s="929"/>
    </row>
    <row r="202" spans="3:15" ht="22.5" customHeight="1">
      <c r="C202" s="985"/>
      <c r="D202" s="929"/>
      <c r="E202" s="929"/>
      <c r="F202" s="929"/>
      <c r="G202" s="929"/>
      <c r="H202" s="929"/>
      <c r="I202" s="929"/>
      <c r="J202" s="929"/>
      <c r="K202" s="929"/>
      <c r="L202" s="929"/>
      <c r="M202" s="929"/>
      <c r="N202" s="929"/>
      <c r="O202" s="929"/>
    </row>
    <row r="203" spans="3:15" ht="22.5" customHeight="1">
      <c r="C203" s="985"/>
      <c r="D203" s="929"/>
      <c r="E203" s="929"/>
      <c r="F203" s="929"/>
      <c r="G203" s="929"/>
      <c r="H203" s="929"/>
      <c r="I203" s="929"/>
      <c r="J203" s="929"/>
      <c r="K203" s="929"/>
      <c r="L203" s="929"/>
      <c r="M203" s="929"/>
      <c r="N203" s="929"/>
      <c r="O203" s="929"/>
    </row>
    <row r="204" spans="3:15" ht="22.5" customHeight="1">
      <c r="C204" s="985"/>
      <c r="D204" s="929"/>
      <c r="E204" s="929"/>
      <c r="F204" s="929"/>
      <c r="G204" s="929"/>
      <c r="H204" s="929"/>
      <c r="I204" s="929"/>
      <c r="J204" s="929"/>
      <c r="K204" s="929"/>
      <c r="L204" s="929"/>
      <c r="M204" s="929"/>
      <c r="N204" s="929"/>
      <c r="O204" s="929"/>
    </row>
    <row r="205" spans="3:15" ht="22.5" customHeight="1">
      <c r="C205" s="985"/>
      <c r="D205" s="929"/>
      <c r="E205" s="929"/>
      <c r="F205" s="929"/>
      <c r="G205" s="929"/>
      <c r="H205" s="929"/>
      <c r="I205" s="929"/>
      <c r="J205" s="929"/>
      <c r="K205" s="929"/>
      <c r="L205" s="929"/>
      <c r="M205" s="929"/>
      <c r="N205" s="929"/>
      <c r="O205" s="929"/>
    </row>
    <row r="206" spans="3:15" ht="22.5" customHeight="1">
      <c r="C206" s="985"/>
      <c r="D206" s="929"/>
      <c r="E206" s="929"/>
      <c r="F206" s="929"/>
      <c r="G206" s="929"/>
      <c r="H206" s="929"/>
      <c r="I206" s="929"/>
      <c r="J206" s="929"/>
      <c r="K206" s="929"/>
      <c r="L206" s="929"/>
      <c r="M206" s="929"/>
      <c r="N206" s="929"/>
      <c r="O206" s="929"/>
    </row>
    <row r="207" spans="3:15" ht="22.5" customHeight="1">
      <c r="C207" s="985"/>
      <c r="D207" s="929"/>
      <c r="E207" s="929"/>
      <c r="F207" s="929"/>
      <c r="G207" s="929"/>
      <c r="H207" s="929"/>
      <c r="I207" s="929"/>
      <c r="J207" s="929"/>
      <c r="K207" s="929"/>
      <c r="L207" s="929"/>
      <c r="M207" s="929"/>
      <c r="N207" s="929"/>
      <c r="O207" s="929"/>
    </row>
    <row r="208" spans="3:15" ht="22.5" customHeight="1">
      <c r="C208" s="985"/>
      <c r="D208" s="929"/>
      <c r="E208" s="929"/>
      <c r="F208" s="929"/>
      <c r="G208" s="929"/>
      <c r="H208" s="929"/>
      <c r="I208" s="929"/>
      <c r="J208" s="929"/>
      <c r="K208" s="929"/>
      <c r="L208" s="929"/>
      <c r="M208" s="929"/>
      <c r="N208" s="929"/>
      <c r="O208" s="929"/>
    </row>
    <row r="209" spans="3:15" ht="22.5" customHeight="1">
      <c r="C209" s="985"/>
      <c r="D209" s="929"/>
      <c r="E209" s="929"/>
      <c r="F209" s="929"/>
      <c r="G209" s="929"/>
      <c r="H209" s="929"/>
      <c r="I209" s="929"/>
      <c r="J209" s="929"/>
      <c r="K209" s="929"/>
      <c r="L209" s="929"/>
      <c r="M209" s="929"/>
      <c r="N209" s="929"/>
      <c r="O209" s="929"/>
    </row>
    <row r="210" spans="3:15" ht="22.5" customHeight="1">
      <c r="C210" s="985"/>
      <c r="D210" s="929"/>
      <c r="E210" s="929"/>
      <c r="F210" s="929"/>
      <c r="G210" s="929"/>
      <c r="H210" s="929"/>
      <c r="I210" s="929"/>
      <c r="J210" s="929"/>
      <c r="K210" s="929"/>
      <c r="L210" s="929"/>
      <c r="M210" s="929"/>
      <c r="N210" s="929"/>
      <c r="O210" s="929"/>
    </row>
    <row r="211" spans="3:15" ht="22.5" customHeight="1">
      <c r="C211" s="985"/>
      <c r="D211" s="929"/>
      <c r="E211" s="929"/>
      <c r="F211" s="929"/>
      <c r="G211" s="929"/>
      <c r="H211" s="929"/>
      <c r="I211" s="929"/>
      <c r="J211" s="929"/>
      <c r="K211" s="929"/>
      <c r="L211" s="929"/>
      <c r="M211" s="929"/>
      <c r="N211" s="929"/>
      <c r="O211" s="929"/>
    </row>
    <row r="212" spans="3:15" ht="22.5" customHeight="1">
      <c r="C212" s="985"/>
      <c r="D212" s="929"/>
      <c r="E212" s="929"/>
      <c r="F212" s="929"/>
      <c r="G212" s="929"/>
      <c r="H212" s="929"/>
      <c r="I212" s="929"/>
      <c r="J212" s="929"/>
      <c r="K212" s="929"/>
      <c r="L212" s="929"/>
      <c r="M212" s="929"/>
      <c r="N212" s="929"/>
      <c r="O212" s="929"/>
    </row>
    <row r="213" spans="3:15" ht="22.5" customHeight="1">
      <c r="C213" s="985"/>
      <c r="D213" s="929"/>
      <c r="E213" s="929"/>
      <c r="F213" s="929"/>
      <c r="G213" s="929"/>
      <c r="H213" s="929"/>
      <c r="I213" s="929"/>
      <c r="J213" s="929"/>
      <c r="K213" s="929"/>
      <c r="L213" s="929"/>
      <c r="M213" s="929"/>
      <c r="N213" s="929"/>
      <c r="O213" s="929"/>
    </row>
    <row r="214" spans="3:15" ht="22.5" customHeight="1">
      <c r="C214" s="985"/>
      <c r="D214" s="929"/>
      <c r="E214" s="929"/>
      <c r="F214" s="929"/>
      <c r="G214" s="929"/>
      <c r="H214" s="929"/>
      <c r="I214" s="929"/>
      <c r="J214" s="929"/>
      <c r="K214" s="929"/>
      <c r="L214" s="929"/>
      <c r="M214" s="929"/>
      <c r="N214" s="929"/>
      <c r="O214" s="929"/>
    </row>
    <row r="215" spans="3:15" ht="22.5" customHeight="1">
      <c r="C215" s="985"/>
      <c r="D215" s="929"/>
      <c r="E215" s="929"/>
      <c r="F215" s="929"/>
      <c r="G215" s="929"/>
      <c r="H215" s="929"/>
      <c r="I215" s="929"/>
      <c r="J215" s="929"/>
      <c r="K215" s="929"/>
      <c r="L215" s="929"/>
      <c r="M215" s="929"/>
      <c r="N215" s="929"/>
      <c r="O215" s="929"/>
    </row>
    <row r="216" spans="3:15" ht="22.5" customHeight="1">
      <c r="C216" s="985"/>
      <c r="D216" s="929"/>
      <c r="E216" s="929"/>
      <c r="F216" s="929"/>
      <c r="G216" s="929"/>
      <c r="H216" s="929"/>
      <c r="I216" s="929"/>
      <c r="J216" s="929"/>
      <c r="K216" s="929"/>
      <c r="L216" s="929"/>
      <c r="M216" s="929"/>
      <c r="N216" s="929"/>
      <c r="O216" s="929"/>
    </row>
    <row r="217" spans="3:15" ht="22.5" customHeight="1">
      <c r="C217" s="985"/>
      <c r="D217" s="929"/>
      <c r="E217" s="929"/>
      <c r="F217" s="929"/>
      <c r="G217" s="929"/>
      <c r="H217" s="929"/>
      <c r="I217" s="929"/>
      <c r="J217" s="929"/>
      <c r="K217" s="929"/>
      <c r="L217" s="929"/>
      <c r="M217" s="929"/>
      <c r="N217" s="929"/>
      <c r="O217" s="929"/>
    </row>
    <row r="218" spans="3:15" ht="22.5" customHeight="1">
      <c r="C218" s="985"/>
      <c r="D218" s="929"/>
      <c r="E218" s="929"/>
      <c r="F218" s="929"/>
      <c r="G218" s="929"/>
      <c r="H218" s="929"/>
      <c r="I218" s="929"/>
      <c r="J218" s="929"/>
      <c r="K218" s="929"/>
      <c r="L218" s="929"/>
      <c r="M218" s="929"/>
      <c r="N218" s="929"/>
      <c r="O218" s="929"/>
    </row>
    <row r="219" spans="3:15" ht="22.5" customHeight="1">
      <c r="C219" s="985"/>
      <c r="D219" s="929"/>
      <c r="E219" s="929"/>
      <c r="F219" s="929"/>
      <c r="G219" s="929"/>
      <c r="H219" s="929"/>
      <c r="I219" s="929"/>
      <c r="J219" s="929"/>
      <c r="K219" s="929"/>
      <c r="L219" s="929"/>
      <c r="M219" s="929"/>
      <c r="N219" s="929"/>
      <c r="O219" s="929"/>
    </row>
    <row r="220" spans="3:15" ht="22.5" customHeight="1">
      <c r="C220" s="985"/>
      <c r="D220" s="929"/>
      <c r="E220" s="929"/>
      <c r="F220" s="929"/>
      <c r="G220" s="929"/>
      <c r="H220" s="929"/>
      <c r="I220" s="929"/>
      <c r="J220" s="929"/>
      <c r="K220" s="929"/>
      <c r="L220" s="929"/>
      <c r="M220" s="929"/>
      <c r="N220" s="929"/>
      <c r="O220" s="929"/>
    </row>
    <row r="221" spans="3:15" ht="22.5" customHeight="1">
      <c r="C221" s="985"/>
      <c r="D221" s="929"/>
      <c r="E221" s="929"/>
      <c r="F221" s="929"/>
      <c r="G221" s="929"/>
      <c r="H221" s="929"/>
      <c r="I221" s="929"/>
      <c r="J221" s="929"/>
      <c r="K221" s="929"/>
      <c r="L221" s="929"/>
      <c r="M221" s="929"/>
      <c r="N221" s="929"/>
      <c r="O221" s="929"/>
    </row>
    <row r="222" spans="3:15" ht="22.5" customHeight="1">
      <c r="C222" s="985"/>
      <c r="D222" s="929"/>
      <c r="E222" s="929"/>
      <c r="F222" s="929"/>
      <c r="G222" s="929"/>
      <c r="H222" s="929"/>
      <c r="I222" s="929"/>
      <c r="J222" s="929"/>
      <c r="K222" s="929"/>
      <c r="L222" s="929"/>
      <c r="M222" s="929"/>
      <c r="N222" s="929"/>
      <c r="O222" s="929"/>
    </row>
    <row r="223" spans="3:15" ht="22.5" customHeight="1">
      <c r="C223" s="985"/>
      <c r="D223" s="929"/>
      <c r="E223" s="929"/>
      <c r="F223" s="929"/>
      <c r="G223" s="929"/>
      <c r="H223" s="929"/>
      <c r="I223" s="929"/>
      <c r="J223" s="929"/>
      <c r="K223" s="929"/>
      <c r="L223" s="929"/>
      <c r="M223" s="929"/>
      <c r="N223" s="929"/>
      <c r="O223" s="929"/>
    </row>
    <row r="224" spans="3:15" ht="22.5" customHeight="1">
      <c r="C224" s="985"/>
      <c r="D224" s="929"/>
      <c r="E224" s="929"/>
      <c r="F224" s="929"/>
      <c r="G224" s="929"/>
      <c r="H224" s="929"/>
      <c r="I224" s="929"/>
      <c r="J224" s="929"/>
      <c r="K224" s="929"/>
      <c r="L224" s="929"/>
      <c r="M224" s="929"/>
      <c r="N224" s="929"/>
      <c r="O224" s="929"/>
    </row>
    <row r="225" spans="3:15" ht="22.5" customHeight="1">
      <c r="C225" s="985"/>
      <c r="D225" s="929"/>
      <c r="E225" s="929"/>
      <c r="F225" s="929"/>
      <c r="G225" s="929"/>
      <c r="H225" s="929"/>
      <c r="I225" s="929"/>
      <c r="J225" s="929"/>
      <c r="K225" s="929"/>
      <c r="L225" s="929"/>
      <c r="M225" s="929"/>
      <c r="N225" s="929"/>
      <c r="O225" s="929"/>
    </row>
    <row r="226" spans="3:15" ht="22.5" customHeight="1">
      <c r="C226" s="985"/>
      <c r="D226" s="929"/>
      <c r="E226" s="929"/>
      <c r="F226" s="929"/>
      <c r="G226" s="929"/>
      <c r="H226" s="929"/>
      <c r="I226" s="929"/>
      <c r="J226" s="929"/>
      <c r="K226" s="929"/>
      <c r="L226" s="929"/>
      <c r="M226" s="929"/>
      <c r="N226" s="929"/>
      <c r="O226" s="929"/>
    </row>
    <row r="227" spans="3:15" ht="22.5" customHeight="1">
      <c r="C227" s="985"/>
      <c r="D227" s="929"/>
      <c r="E227" s="929"/>
      <c r="F227" s="929"/>
      <c r="G227" s="929"/>
      <c r="H227" s="929"/>
      <c r="I227" s="929"/>
      <c r="J227" s="929"/>
      <c r="K227" s="929"/>
      <c r="L227" s="929"/>
      <c r="M227" s="929"/>
      <c r="N227" s="929"/>
      <c r="O227" s="929"/>
    </row>
    <row r="228" spans="3:15" ht="22.5" customHeight="1">
      <c r="C228" s="985"/>
      <c r="D228" s="929"/>
      <c r="E228" s="929"/>
      <c r="F228" s="929"/>
      <c r="G228" s="929"/>
      <c r="H228" s="929"/>
      <c r="I228" s="929"/>
      <c r="J228" s="929"/>
      <c r="K228" s="929"/>
      <c r="L228" s="929"/>
      <c r="M228" s="929"/>
      <c r="N228" s="929"/>
      <c r="O228" s="929"/>
    </row>
    <row r="229" spans="3:15" ht="22.5" customHeight="1">
      <c r="C229" s="985"/>
      <c r="D229" s="929"/>
      <c r="E229" s="929"/>
      <c r="F229" s="929"/>
      <c r="G229" s="929"/>
      <c r="H229" s="929"/>
      <c r="I229" s="929"/>
      <c r="J229" s="929"/>
      <c r="K229" s="929"/>
      <c r="L229" s="929"/>
      <c r="M229" s="929"/>
      <c r="N229" s="929"/>
      <c r="O229" s="929"/>
    </row>
    <row r="230" spans="3:15" ht="22.5" customHeight="1">
      <c r="C230" s="985"/>
      <c r="D230" s="929"/>
      <c r="E230" s="929"/>
      <c r="F230" s="929"/>
      <c r="G230" s="929"/>
      <c r="H230" s="929"/>
      <c r="I230" s="929"/>
      <c r="J230" s="929"/>
      <c r="K230" s="929"/>
      <c r="L230" s="929"/>
      <c r="M230" s="929"/>
      <c r="N230" s="929"/>
      <c r="O230" s="929"/>
    </row>
    <row r="231" spans="3:15" ht="22.5" customHeight="1">
      <c r="C231" s="985"/>
      <c r="D231" s="929"/>
      <c r="E231" s="929"/>
      <c r="F231" s="929"/>
      <c r="G231" s="929"/>
      <c r="H231" s="929"/>
      <c r="I231" s="929"/>
      <c r="J231" s="929"/>
      <c r="K231" s="929"/>
      <c r="L231" s="929"/>
      <c r="M231" s="929"/>
      <c r="N231" s="929"/>
      <c r="O231" s="929"/>
    </row>
    <row r="232" spans="3:15" ht="22.5" customHeight="1">
      <c r="C232" s="985"/>
      <c r="D232" s="929"/>
      <c r="E232" s="929"/>
      <c r="F232" s="929"/>
      <c r="G232" s="929"/>
      <c r="H232" s="929"/>
      <c r="I232" s="929"/>
      <c r="J232" s="929"/>
      <c r="K232" s="929"/>
      <c r="L232" s="929"/>
      <c r="M232" s="929"/>
      <c r="N232" s="929"/>
      <c r="O232" s="929"/>
    </row>
    <row r="233" spans="3:15" ht="22.5" customHeight="1">
      <c r="C233" s="985"/>
      <c r="D233" s="929"/>
      <c r="E233" s="929"/>
      <c r="F233" s="929"/>
      <c r="G233" s="929"/>
      <c r="H233" s="929"/>
      <c r="I233" s="929"/>
      <c r="J233" s="929"/>
      <c r="K233" s="929"/>
      <c r="L233" s="929"/>
      <c r="M233" s="929"/>
      <c r="N233" s="929"/>
      <c r="O233" s="929"/>
    </row>
    <row r="234" spans="3:15" ht="22.5" customHeight="1">
      <c r="C234" s="985"/>
      <c r="D234" s="929"/>
      <c r="E234" s="929"/>
      <c r="F234" s="929"/>
      <c r="G234" s="929"/>
      <c r="H234" s="929"/>
      <c r="I234" s="929"/>
      <c r="J234" s="929"/>
      <c r="K234" s="929"/>
      <c r="L234" s="929"/>
      <c r="M234" s="929"/>
      <c r="N234" s="929"/>
      <c r="O234" s="929"/>
    </row>
    <row r="235" spans="3:15" ht="22.5" customHeight="1">
      <c r="C235" s="985"/>
      <c r="D235" s="929"/>
      <c r="E235" s="929"/>
      <c r="F235" s="929"/>
      <c r="G235" s="929"/>
      <c r="H235" s="929"/>
      <c r="I235" s="929"/>
      <c r="J235" s="929"/>
      <c r="K235" s="929"/>
      <c r="L235" s="929"/>
      <c r="M235" s="929"/>
      <c r="N235" s="929"/>
      <c r="O235" s="929"/>
    </row>
    <row r="236" spans="3:15" ht="22.5" customHeight="1">
      <c r="C236" s="985"/>
      <c r="D236" s="929"/>
      <c r="E236" s="929"/>
      <c r="F236" s="929"/>
      <c r="G236" s="929"/>
      <c r="H236" s="929"/>
      <c r="I236" s="929"/>
      <c r="J236" s="929"/>
      <c r="K236" s="929"/>
      <c r="L236" s="929"/>
      <c r="M236" s="929"/>
      <c r="N236" s="929"/>
      <c r="O236" s="929"/>
    </row>
    <row r="237" spans="3:15" ht="22.5" customHeight="1">
      <c r="C237" s="985"/>
      <c r="D237" s="929"/>
      <c r="E237" s="929"/>
      <c r="F237" s="929"/>
      <c r="G237" s="929"/>
      <c r="H237" s="929"/>
      <c r="I237" s="929"/>
      <c r="J237" s="929"/>
      <c r="K237" s="929"/>
      <c r="L237" s="929"/>
      <c r="M237" s="929"/>
      <c r="N237" s="929"/>
      <c r="O237" s="929"/>
    </row>
    <row r="238" spans="3:15" ht="22.5" customHeight="1">
      <c r="C238" s="985"/>
      <c r="D238" s="929"/>
      <c r="E238" s="929"/>
      <c r="F238" s="929"/>
      <c r="G238" s="929"/>
      <c r="H238" s="929"/>
      <c r="I238" s="929"/>
      <c r="J238" s="929"/>
      <c r="K238" s="929"/>
      <c r="L238" s="929"/>
      <c r="M238" s="929"/>
      <c r="N238" s="929"/>
      <c r="O238" s="929"/>
    </row>
    <row r="239" spans="3:15" ht="22.5" customHeight="1">
      <c r="C239" s="985"/>
      <c r="D239" s="929"/>
      <c r="E239" s="929"/>
      <c r="F239" s="929"/>
      <c r="G239" s="929"/>
      <c r="H239" s="929"/>
      <c r="I239" s="929"/>
      <c r="J239" s="929"/>
      <c r="K239" s="929"/>
      <c r="L239" s="929"/>
      <c r="M239" s="929"/>
      <c r="N239" s="929"/>
      <c r="O239" s="929"/>
    </row>
    <row r="240" spans="3:15" ht="22.5" customHeight="1">
      <c r="C240" s="985"/>
      <c r="D240" s="929"/>
      <c r="E240" s="929"/>
      <c r="F240" s="929"/>
      <c r="G240" s="929"/>
      <c r="H240" s="929"/>
      <c r="I240" s="929"/>
      <c r="J240" s="929"/>
      <c r="K240" s="929"/>
      <c r="L240" s="929"/>
      <c r="M240" s="929"/>
      <c r="N240" s="929"/>
      <c r="O240" s="929"/>
    </row>
    <row r="241" spans="3:15" ht="22.5" customHeight="1">
      <c r="C241" s="985"/>
      <c r="D241" s="929"/>
      <c r="E241" s="929"/>
      <c r="F241" s="929"/>
      <c r="G241" s="929"/>
      <c r="H241" s="929"/>
      <c r="I241" s="929"/>
      <c r="J241" s="929"/>
      <c r="K241" s="929"/>
      <c r="L241" s="929"/>
      <c r="M241" s="929"/>
      <c r="N241" s="929"/>
      <c r="O241" s="929"/>
    </row>
    <row r="242" spans="3:15" ht="22.5" customHeight="1">
      <c r="C242" s="985"/>
      <c r="D242" s="929"/>
      <c r="E242" s="929"/>
      <c r="F242" s="929"/>
      <c r="G242" s="929"/>
      <c r="H242" s="929"/>
      <c r="I242" s="929"/>
      <c r="J242" s="929"/>
      <c r="K242" s="929"/>
      <c r="L242" s="929"/>
      <c r="M242" s="929"/>
      <c r="N242" s="929"/>
      <c r="O242" s="929"/>
    </row>
    <row r="243" spans="3:15" ht="22.5" customHeight="1">
      <c r="C243" s="985"/>
      <c r="D243" s="929"/>
      <c r="E243" s="929"/>
      <c r="F243" s="929"/>
      <c r="G243" s="929"/>
      <c r="H243" s="929"/>
      <c r="I243" s="929"/>
      <c r="J243" s="929"/>
      <c r="K243" s="929"/>
      <c r="L243" s="929"/>
      <c r="M243" s="929"/>
      <c r="N243" s="929"/>
      <c r="O243" s="929"/>
    </row>
    <row r="244" spans="3:15" ht="22.5" customHeight="1">
      <c r="C244" s="985"/>
      <c r="D244" s="929"/>
      <c r="E244" s="929"/>
      <c r="F244" s="929"/>
      <c r="G244" s="929"/>
      <c r="H244" s="929"/>
      <c r="I244" s="929"/>
      <c r="J244" s="929"/>
      <c r="K244" s="929"/>
      <c r="L244" s="929"/>
      <c r="M244" s="929"/>
      <c r="N244" s="929"/>
      <c r="O244" s="929"/>
    </row>
    <row r="245" spans="3:15" ht="22.5" customHeight="1">
      <c r="C245" s="985"/>
      <c r="D245" s="929"/>
      <c r="E245" s="929"/>
      <c r="F245" s="929"/>
      <c r="G245" s="929"/>
      <c r="H245" s="929"/>
      <c r="I245" s="929"/>
      <c r="J245" s="929"/>
      <c r="K245" s="929"/>
      <c r="L245" s="929"/>
      <c r="M245" s="929"/>
      <c r="N245" s="929"/>
      <c r="O245" s="929"/>
    </row>
    <row r="246" spans="3:15" ht="22.5" customHeight="1">
      <c r="C246" s="985"/>
      <c r="D246" s="929"/>
      <c r="E246" s="929"/>
      <c r="F246" s="929"/>
      <c r="G246" s="929"/>
      <c r="H246" s="929"/>
      <c r="I246" s="929"/>
      <c r="J246" s="929"/>
      <c r="K246" s="929"/>
      <c r="L246" s="929"/>
      <c r="M246" s="929"/>
      <c r="N246" s="929"/>
      <c r="O246" s="929"/>
    </row>
    <row r="247" spans="3:15" ht="22.5" customHeight="1">
      <c r="C247" s="985"/>
      <c r="D247" s="929"/>
      <c r="E247" s="929"/>
      <c r="F247" s="929"/>
      <c r="G247" s="929"/>
      <c r="H247" s="929"/>
      <c r="I247" s="929"/>
      <c r="J247" s="929"/>
      <c r="K247" s="929"/>
      <c r="L247" s="929"/>
      <c r="M247" s="929"/>
      <c r="N247" s="929"/>
      <c r="O247" s="929"/>
    </row>
    <row r="248" spans="3:15" ht="22.5" customHeight="1">
      <c r="C248" s="985"/>
      <c r="D248" s="929"/>
      <c r="E248" s="929"/>
      <c r="F248" s="929"/>
      <c r="G248" s="929"/>
      <c r="H248" s="929"/>
      <c r="I248" s="929"/>
      <c r="J248" s="929"/>
      <c r="K248" s="929"/>
      <c r="L248" s="929"/>
      <c r="M248" s="929"/>
      <c r="N248" s="929"/>
      <c r="O248" s="929"/>
    </row>
    <row r="249" spans="3:15" ht="22.5" customHeight="1">
      <c r="C249" s="985"/>
      <c r="D249" s="929"/>
      <c r="E249" s="929"/>
      <c r="F249" s="929"/>
      <c r="G249" s="929"/>
      <c r="H249" s="929"/>
      <c r="I249" s="929"/>
      <c r="J249" s="929"/>
      <c r="K249" s="929"/>
      <c r="L249" s="929"/>
      <c r="M249" s="929"/>
      <c r="N249" s="929"/>
      <c r="O249" s="929"/>
    </row>
    <row r="250" spans="3:15" ht="22.5" customHeight="1">
      <c r="C250" s="985"/>
      <c r="D250" s="929"/>
      <c r="E250" s="929"/>
      <c r="F250" s="929"/>
      <c r="G250" s="929"/>
      <c r="H250" s="929"/>
      <c r="I250" s="929"/>
      <c r="J250" s="929"/>
      <c r="K250" s="929"/>
      <c r="L250" s="929"/>
      <c r="M250" s="929"/>
      <c r="N250" s="929"/>
      <c r="O250" s="929"/>
    </row>
    <row r="251" spans="3:15" ht="22.5" customHeight="1">
      <c r="C251" s="985"/>
      <c r="D251" s="929"/>
      <c r="E251" s="929"/>
      <c r="F251" s="929"/>
      <c r="G251" s="929"/>
      <c r="H251" s="929"/>
      <c r="I251" s="929"/>
      <c r="J251" s="929"/>
      <c r="K251" s="929"/>
      <c r="L251" s="929"/>
      <c r="M251" s="929"/>
      <c r="N251" s="929"/>
      <c r="O251" s="929"/>
    </row>
    <row r="252" spans="3:15" ht="22.5" customHeight="1">
      <c r="C252" s="985"/>
      <c r="D252" s="929"/>
      <c r="E252" s="929"/>
      <c r="F252" s="929"/>
      <c r="G252" s="929"/>
      <c r="H252" s="929"/>
      <c r="I252" s="929"/>
      <c r="J252" s="929"/>
      <c r="K252" s="929"/>
      <c r="L252" s="929"/>
      <c r="M252" s="929"/>
      <c r="N252" s="929"/>
      <c r="O252" s="929"/>
    </row>
    <row r="253" spans="3:15" ht="22.5" customHeight="1">
      <c r="C253" s="985"/>
      <c r="D253" s="929"/>
      <c r="E253" s="929"/>
      <c r="F253" s="929"/>
      <c r="G253" s="929"/>
      <c r="H253" s="929"/>
      <c r="I253" s="929"/>
      <c r="J253" s="929"/>
      <c r="K253" s="929"/>
      <c r="L253" s="929"/>
      <c r="M253" s="929"/>
      <c r="N253" s="929"/>
      <c r="O253" s="929"/>
    </row>
    <row r="254" spans="3:15" ht="22.5" customHeight="1">
      <c r="C254" s="985"/>
      <c r="D254" s="929"/>
      <c r="E254" s="929"/>
      <c r="F254" s="929"/>
      <c r="G254" s="929"/>
      <c r="H254" s="929"/>
      <c r="I254" s="929"/>
      <c r="J254" s="929"/>
      <c r="K254" s="929"/>
      <c r="L254" s="929"/>
      <c r="M254" s="929"/>
      <c r="N254" s="929"/>
      <c r="O254" s="929"/>
    </row>
    <row r="255" spans="3:15" ht="22.5" customHeight="1">
      <c r="C255" s="985"/>
      <c r="D255" s="929"/>
      <c r="E255" s="929"/>
      <c r="F255" s="929"/>
      <c r="G255" s="929"/>
      <c r="H255" s="929"/>
      <c r="I255" s="929"/>
      <c r="J255" s="929"/>
      <c r="K255" s="929"/>
      <c r="L255" s="929"/>
      <c r="M255" s="929"/>
      <c r="N255" s="929"/>
      <c r="O255" s="929"/>
    </row>
    <row r="256" spans="3:15" ht="22.5" customHeight="1">
      <c r="C256" s="985"/>
      <c r="D256" s="929"/>
      <c r="E256" s="929"/>
      <c r="F256" s="929"/>
      <c r="G256" s="929"/>
      <c r="H256" s="929"/>
      <c r="I256" s="929"/>
      <c r="J256" s="929"/>
      <c r="K256" s="929"/>
      <c r="L256" s="929"/>
      <c r="M256" s="929"/>
      <c r="N256" s="929"/>
      <c r="O256" s="929"/>
    </row>
    <row r="257" spans="3:15" ht="22.5" customHeight="1">
      <c r="C257" s="985"/>
      <c r="D257" s="929"/>
      <c r="E257" s="929"/>
      <c r="F257" s="929"/>
      <c r="G257" s="929"/>
      <c r="H257" s="929"/>
      <c r="I257" s="929"/>
      <c r="J257" s="929"/>
      <c r="K257" s="929"/>
      <c r="L257" s="929"/>
      <c r="M257" s="929"/>
      <c r="N257" s="929"/>
      <c r="O257" s="929"/>
    </row>
    <row r="258" spans="3:15" ht="22.5" customHeight="1">
      <c r="C258" s="985"/>
      <c r="D258" s="929"/>
      <c r="E258" s="929"/>
      <c r="F258" s="929"/>
      <c r="G258" s="929"/>
      <c r="H258" s="929"/>
      <c r="I258" s="929"/>
      <c r="J258" s="929"/>
      <c r="K258" s="929"/>
      <c r="L258" s="929"/>
      <c r="M258" s="929"/>
      <c r="N258" s="929"/>
      <c r="O258" s="929"/>
    </row>
    <row r="259" spans="3:15" ht="22.5" customHeight="1">
      <c r="C259" s="985"/>
      <c r="D259" s="929"/>
      <c r="E259" s="929"/>
      <c r="F259" s="929"/>
      <c r="G259" s="929"/>
      <c r="H259" s="929"/>
      <c r="I259" s="929"/>
      <c r="J259" s="929"/>
      <c r="K259" s="929"/>
      <c r="L259" s="929"/>
      <c r="M259" s="929"/>
      <c r="N259" s="929"/>
      <c r="O259" s="929"/>
    </row>
    <row r="260" spans="3:15" ht="22.5" customHeight="1">
      <c r="C260" s="985"/>
      <c r="D260" s="929"/>
      <c r="E260" s="929"/>
      <c r="F260" s="929"/>
      <c r="G260" s="929"/>
      <c r="H260" s="929"/>
      <c r="I260" s="929"/>
      <c r="J260" s="929"/>
      <c r="K260" s="929"/>
      <c r="L260" s="929"/>
      <c r="M260" s="929"/>
      <c r="N260" s="929"/>
      <c r="O260" s="929"/>
    </row>
    <row r="261" spans="3:15" ht="22.5" customHeight="1">
      <c r="C261" s="985"/>
      <c r="D261" s="929"/>
      <c r="E261" s="929"/>
      <c r="F261" s="929"/>
      <c r="G261" s="929"/>
      <c r="H261" s="929"/>
      <c r="I261" s="929"/>
      <c r="J261" s="929"/>
      <c r="K261" s="929"/>
      <c r="L261" s="929"/>
      <c r="M261" s="929"/>
      <c r="N261" s="929"/>
      <c r="O261" s="929"/>
    </row>
    <row r="262" spans="3:15" ht="22.5" customHeight="1">
      <c r="C262" s="985"/>
      <c r="D262" s="929"/>
      <c r="E262" s="929"/>
      <c r="F262" s="929"/>
      <c r="G262" s="929"/>
      <c r="H262" s="929"/>
      <c r="I262" s="929"/>
      <c r="J262" s="929"/>
      <c r="K262" s="929"/>
      <c r="L262" s="929"/>
      <c r="M262" s="929"/>
      <c r="N262" s="929"/>
      <c r="O262" s="929"/>
    </row>
    <row r="263" spans="3:15" ht="22.5" customHeight="1">
      <c r="C263" s="985"/>
      <c r="D263" s="929"/>
      <c r="E263" s="929"/>
      <c r="F263" s="929"/>
      <c r="G263" s="929"/>
      <c r="H263" s="929"/>
      <c r="I263" s="929"/>
      <c r="J263" s="929"/>
      <c r="K263" s="929"/>
      <c r="L263" s="929"/>
      <c r="M263" s="929"/>
      <c r="N263" s="929"/>
      <c r="O263" s="929"/>
    </row>
  </sheetData>
  <sheetProtection/>
  <mergeCells count="8">
    <mergeCell ref="J4:L4"/>
    <mergeCell ref="G4:I4"/>
    <mergeCell ref="D4:F4"/>
    <mergeCell ref="C1:P1"/>
    <mergeCell ref="C2:P2"/>
    <mergeCell ref="C4:C5"/>
    <mergeCell ref="P4:R4"/>
    <mergeCell ref="M4:O4"/>
  </mergeCells>
  <printOptions horizontalCentered="1"/>
  <pageMargins left="0.3937007874015748" right="0" top="0.6299212598425197" bottom="0.31496062992125984" header="0.2755905511811024" footer="0.1968503937007874"/>
  <pageSetup fitToHeight="1" fitToWidth="1" horizontalDpi="600" verticalDpi="600" orientation="landscape" paperSize="9" scale="40" r:id="rId1"/>
  <headerFooter alignWithMargins="0">
    <oddHeader>&amp;L&amp;11 4. melléklet a 28/2015.(XII.18.)   önkormányzati rendelethez
4. melléklet az 1/2015.(I.30.) önkormányzati rendelethez</oddHeader>
  </headerFooter>
  <ignoredErrors>
    <ignoredError sqref="F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7"/>
  <sheetViews>
    <sheetView view="pageBreakPreview" zoomScale="69" zoomScaleNormal="78" zoomScaleSheetLayoutView="69" workbookViewId="0" topLeftCell="A1">
      <selection activeCell="R5" sqref="R5:R6"/>
    </sheetView>
  </sheetViews>
  <sheetFormatPr defaultColWidth="9.00390625" defaultRowHeight="21" customHeight="1"/>
  <cols>
    <col min="1" max="1" width="19.625" style="1023" customWidth="1"/>
    <col min="2" max="2" width="11.875" style="1023" customWidth="1"/>
    <col min="3" max="3" width="119.125" style="1023" customWidth="1"/>
    <col min="4" max="4" width="18.00390625" style="1023" customWidth="1"/>
    <col min="5" max="5" width="14.625" style="1023" customWidth="1"/>
    <col min="6" max="6" width="14.875" style="1023" customWidth="1"/>
    <col min="7" max="7" width="13.375" style="1023" customWidth="1"/>
    <col min="8" max="8" width="18.75390625" style="1023" customWidth="1"/>
    <col min="9" max="9" width="13.25390625" style="1023" customWidth="1"/>
    <col min="10" max="10" width="19.125" style="1023" customWidth="1"/>
    <col min="11" max="11" width="22.125" style="1023" customWidth="1"/>
    <col min="12" max="12" width="14.25390625" style="1023" customWidth="1"/>
    <col min="13" max="13" width="11.75390625" style="1023" customWidth="1"/>
    <col min="14" max="14" width="13.875" style="1023" customWidth="1"/>
    <col min="15" max="15" width="19.125" style="1023" customWidth="1"/>
    <col min="16" max="16" width="20.125" style="1023" customWidth="1"/>
    <col min="17" max="17" width="19.375" style="1023" customWidth="1"/>
    <col min="18" max="18" width="27.625" style="1023" customWidth="1"/>
    <col min="19" max="19" width="14.75390625" style="1023" customWidth="1"/>
    <col min="20" max="16384" width="9.125" style="1023" customWidth="1"/>
  </cols>
  <sheetData>
    <row r="2" spans="2:17" ht="21" customHeight="1">
      <c r="B2" s="1182" t="s">
        <v>23</v>
      </c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020"/>
    </row>
    <row r="3" spans="14:18" ht="21" customHeight="1" thickBot="1">
      <c r="N3" s="1021"/>
      <c r="O3" s="1022"/>
      <c r="P3" s="1022"/>
      <c r="Q3" s="1022"/>
      <c r="R3" s="1022" t="s">
        <v>303</v>
      </c>
    </row>
    <row r="4" spans="1:19" ht="21" customHeight="1" thickBot="1">
      <c r="A4" s="1181" t="s">
        <v>629</v>
      </c>
      <c r="B4" s="1181"/>
      <c r="C4" s="1181"/>
      <c r="D4" s="1181"/>
      <c r="E4" s="1183" t="s">
        <v>304</v>
      </c>
      <c r="F4" s="1183" t="s">
        <v>305</v>
      </c>
      <c r="G4" s="1184" t="s">
        <v>309</v>
      </c>
      <c r="H4" s="1184"/>
      <c r="I4" s="1184"/>
      <c r="J4" s="1184"/>
      <c r="K4" s="1184"/>
      <c r="L4" s="1184"/>
      <c r="M4" s="1176" t="s">
        <v>310</v>
      </c>
      <c r="N4" s="1176"/>
      <c r="O4" s="1176"/>
      <c r="P4" s="1176"/>
      <c r="Q4" s="1173" t="s">
        <v>274</v>
      </c>
      <c r="R4" s="1173"/>
      <c r="S4" s="1172" t="s">
        <v>725</v>
      </c>
    </row>
    <row r="5" spans="1:19" ht="21" customHeight="1" thickBot="1">
      <c r="A5" s="1181"/>
      <c r="B5" s="1181"/>
      <c r="C5" s="1181"/>
      <c r="D5" s="1181"/>
      <c r="E5" s="1183"/>
      <c r="F5" s="1183"/>
      <c r="G5" s="1177" t="s">
        <v>567</v>
      </c>
      <c r="H5" s="1177" t="s">
        <v>311</v>
      </c>
      <c r="I5" s="1177" t="s">
        <v>427</v>
      </c>
      <c r="J5" s="1177" t="s">
        <v>571</v>
      </c>
      <c r="K5" s="1177" t="s">
        <v>570</v>
      </c>
      <c r="L5" s="1177" t="s">
        <v>654</v>
      </c>
      <c r="M5" s="1180" t="s">
        <v>277</v>
      </c>
      <c r="N5" s="1180" t="s">
        <v>276</v>
      </c>
      <c r="O5" s="1177" t="s">
        <v>588</v>
      </c>
      <c r="P5" s="1179" t="s">
        <v>248</v>
      </c>
      <c r="Q5" s="1178" t="s">
        <v>312</v>
      </c>
      <c r="R5" s="1174" t="s">
        <v>249</v>
      </c>
      <c r="S5" s="1172"/>
    </row>
    <row r="6" spans="1:19" ht="39.75" customHeight="1" thickBot="1">
      <c r="A6" s="1181"/>
      <c r="B6" s="1181"/>
      <c r="C6" s="1181"/>
      <c r="D6" s="1181"/>
      <c r="E6" s="1183"/>
      <c r="F6" s="1183"/>
      <c r="G6" s="1177"/>
      <c r="H6" s="1177"/>
      <c r="I6" s="1177"/>
      <c r="J6" s="1177"/>
      <c r="K6" s="1177"/>
      <c r="L6" s="1177"/>
      <c r="M6" s="1180"/>
      <c r="N6" s="1180"/>
      <c r="O6" s="1177"/>
      <c r="P6" s="1179"/>
      <c r="Q6" s="1178"/>
      <c r="R6" s="1174"/>
      <c r="S6" s="1172"/>
    </row>
    <row r="7" spans="1:24" ht="21" customHeight="1">
      <c r="A7" s="1024" t="s">
        <v>313</v>
      </c>
      <c r="B7" s="1025" t="s">
        <v>315</v>
      </c>
      <c r="C7" s="1026" t="s">
        <v>314</v>
      </c>
      <c r="D7" s="1027" t="s">
        <v>4</v>
      </c>
      <c r="E7" s="1028">
        <v>100000</v>
      </c>
      <c r="F7" s="1028">
        <f aca="true" t="shared" si="0" ref="F7:F90">SUM(G7:R7)</f>
        <v>0</v>
      </c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30"/>
      <c r="S7" s="1031"/>
      <c r="T7" s="1032"/>
      <c r="U7" s="1032"/>
      <c r="V7" s="1032"/>
      <c r="W7" s="1032"/>
      <c r="X7" s="1032"/>
    </row>
    <row r="8" spans="1:24" ht="21" customHeight="1">
      <c r="A8" s="1033"/>
      <c r="B8" s="1034"/>
      <c r="C8" s="1035"/>
      <c r="D8" s="1057" t="s">
        <v>733</v>
      </c>
      <c r="E8" s="1036">
        <v>81606</v>
      </c>
      <c r="F8" s="1036">
        <f t="shared" si="0"/>
        <v>0</v>
      </c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8"/>
      <c r="S8" s="1039"/>
      <c r="T8" s="1032"/>
      <c r="U8" s="1032"/>
      <c r="V8" s="1032"/>
      <c r="W8" s="1032"/>
      <c r="X8" s="1032"/>
    </row>
    <row r="9" spans="1:24" ht="21" customHeight="1">
      <c r="A9" s="1033"/>
      <c r="B9" s="1034"/>
      <c r="C9" s="1035"/>
      <c r="D9" s="1057" t="s">
        <v>799</v>
      </c>
      <c r="E9" s="1036">
        <v>81606</v>
      </c>
      <c r="F9" s="1036"/>
      <c r="G9" s="1037"/>
      <c r="H9" s="1037"/>
      <c r="I9" s="1037"/>
      <c r="J9" s="1037"/>
      <c r="K9" s="1037"/>
      <c r="L9" s="1037"/>
      <c r="M9" s="1037"/>
      <c r="N9" s="1037"/>
      <c r="O9" s="1037"/>
      <c r="P9" s="1037"/>
      <c r="Q9" s="1037"/>
      <c r="R9" s="1038"/>
      <c r="S9" s="1039"/>
      <c r="T9" s="1032"/>
      <c r="U9" s="1032"/>
      <c r="V9" s="1032"/>
      <c r="W9" s="1032"/>
      <c r="X9" s="1032"/>
    </row>
    <row r="10" spans="1:24" ht="21" customHeight="1">
      <c r="A10" s="1033" t="s">
        <v>313</v>
      </c>
      <c r="B10" s="1034" t="s">
        <v>315</v>
      </c>
      <c r="C10" s="1035" t="s">
        <v>316</v>
      </c>
      <c r="D10" s="1040" t="s">
        <v>4</v>
      </c>
      <c r="E10" s="1036">
        <v>241854</v>
      </c>
      <c r="F10" s="1036">
        <f t="shared" si="0"/>
        <v>501519</v>
      </c>
      <c r="G10" s="1037">
        <v>49450</v>
      </c>
      <c r="H10" s="1037">
        <v>14695</v>
      </c>
      <c r="I10" s="1037">
        <v>33710</v>
      </c>
      <c r="J10" s="1037">
        <v>350405</v>
      </c>
      <c r="K10" s="1037"/>
      <c r="L10" s="1037"/>
      <c r="M10" s="1037">
        <v>1016</v>
      </c>
      <c r="N10" s="1037">
        <v>41243</v>
      </c>
      <c r="O10" s="1037"/>
      <c r="P10" s="1037"/>
      <c r="Q10" s="1037">
        <v>11000</v>
      </c>
      <c r="R10" s="1038"/>
      <c r="S10" s="1039"/>
      <c r="T10" s="1032"/>
      <c r="U10" s="1032"/>
      <c r="V10" s="1032"/>
      <c r="W10" s="1032"/>
      <c r="X10" s="1032"/>
    </row>
    <row r="11" spans="1:24" ht="21" customHeight="1" hidden="1">
      <c r="A11" s="1033"/>
      <c r="B11" s="1034"/>
      <c r="C11" s="1035"/>
      <c r="D11" s="1057" t="s">
        <v>668</v>
      </c>
      <c r="E11" s="1036">
        <v>241854</v>
      </c>
      <c r="F11" s="1036">
        <f t="shared" si="0"/>
        <v>506608</v>
      </c>
      <c r="G11" s="1037">
        <v>50354</v>
      </c>
      <c r="H11" s="1037">
        <v>14695</v>
      </c>
      <c r="I11" s="1037">
        <v>32486</v>
      </c>
      <c r="J11" s="1037">
        <v>366434</v>
      </c>
      <c r="K11" s="1037"/>
      <c r="L11" s="1037"/>
      <c r="M11" s="1037">
        <v>1016</v>
      </c>
      <c r="N11" s="1037">
        <v>41243</v>
      </c>
      <c r="O11" s="1037">
        <v>380</v>
      </c>
      <c r="P11" s="1037"/>
      <c r="Q11" s="1037"/>
      <c r="R11" s="1038"/>
      <c r="S11" s="1039"/>
      <c r="T11" s="1032"/>
      <c r="U11" s="1032"/>
      <c r="V11" s="1032"/>
      <c r="W11" s="1032"/>
      <c r="X11" s="1032"/>
    </row>
    <row r="12" spans="1:24" ht="21" customHeight="1">
      <c r="A12" s="1033"/>
      <c r="B12" s="1034"/>
      <c r="C12" s="1035"/>
      <c r="D12" s="1057" t="s">
        <v>733</v>
      </c>
      <c r="E12" s="1036">
        <v>242884</v>
      </c>
      <c r="F12" s="1036">
        <f t="shared" si="0"/>
        <v>792102</v>
      </c>
      <c r="G12" s="1037">
        <v>52164</v>
      </c>
      <c r="H12" s="1037">
        <v>14940</v>
      </c>
      <c r="I12" s="1037">
        <f>I11+276970+2182</f>
        <v>311638</v>
      </c>
      <c r="J12" s="1037">
        <f>J11+14504</f>
        <v>380938</v>
      </c>
      <c r="K12" s="1037"/>
      <c r="L12" s="1037"/>
      <c r="M12" s="1037">
        <v>1016</v>
      </c>
      <c r="N12" s="1037">
        <v>31026</v>
      </c>
      <c r="O12" s="1037">
        <v>380</v>
      </c>
      <c r="P12" s="1037"/>
      <c r="Q12" s="1037"/>
      <c r="R12" s="1038"/>
      <c r="S12" s="1039"/>
      <c r="T12" s="1032"/>
      <c r="U12" s="1032"/>
      <c r="V12" s="1032"/>
      <c r="W12" s="1032"/>
      <c r="X12" s="1032"/>
    </row>
    <row r="13" spans="1:24" ht="21" customHeight="1">
      <c r="A13" s="1033"/>
      <c r="B13" s="1034"/>
      <c r="C13" s="1035"/>
      <c r="D13" s="1057" t="s">
        <v>799</v>
      </c>
      <c r="E13" s="1036">
        <v>239011</v>
      </c>
      <c r="F13" s="1036">
        <f t="shared" si="0"/>
        <v>916089</v>
      </c>
      <c r="G13" s="1037">
        <v>61267</v>
      </c>
      <c r="H13" s="1037">
        <v>16388</v>
      </c>
      <c r="I13" s="1037">
        <v>423607</v>
      </c>
      <c r="J13" s="1037">
        <v>353405</v>
      </c>
      <c r="K13" s="1037">
        <v>29000</v>
      </c>
      <c r="L13" s="1037"/>
      <c r="M13" s="1037">
        <v>1016</v>
      </c>
      <c r="N13" s="1037">
        <v>31026</v>
      </c>
      <c r="O13" s="1037">
        <v>380</v>
      </c>
      <c r="P13" s="1037"/>
      <c r="Q13" s="1037"/>
      <c r="R13" s="1038"/>
      <c r="S13" s="1039"/>
      <c r="T13" s="1032"/>
      <c r="U13" s="1032"/>
      <c r="V13" s="1032"/>
      <c r="W13" s="1032"/>
      <c r="X13" s="1032"/>
    </row>
    <row r="14" spans="1:24" ht="21" customHeight="1">
      <c r="A14" s="1033" t="s">
        <v>317</v>
      </c>
      <c r="B14" s="1034" t="s">
        <v>318</v>
      </c>
      <c r="C14" s="1035" t="s">
        <v>319</v>
      </c>
      <c r="D14" s="1041" t="s">
        <v>4</v>
      </c>
      <c r="E14" s="1036">
        <v>1918951</v>
      </c>
      <c r="F14" s="1036">
        <f t="shared" si="0"/>
        <v>0</v>
      </c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38"/>
      <c r="S14" s="1039"/>
      <c r="T14" s="1032"/>
      <c r="U14" s="1032"/>
      <c r="V14" s="1032"/>
      <c r="W14" s="1032"/>
      <c r="X14" s="1032"/>
    </row>
    <row r="15" spans="1:24" ht="21" customHeight="1" hidden="1">
      <c r="A15" s="1033"/>
      <c r="B15" s="1034"/>
      <c r="C15" s="1035"/>
      <c r="D15" s="1057" t="s">
        <v>668</v>
      </c>
      <c r="E15" s="1036">
        <v>1918361</v>
      </c>
      <c r="F15" s="1036">
        <f t="shared" si="0"/>
        <v>0</v>
      </c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38"/>
      <c r="S15" s="1039"/>
      <c r="T15" s="1032"/>
      <c r="U15" s="1032"/>
      <c r="V15" s="1032"/>
      <c r="W15" s="1032"/>
      <c r="X15" s="1032"/>
    </row>
    <row r="16" spans="1:24" ht="21" customHeight="1">
      <c r="A16" s="1033"/>
      <c r="B16" s="1034"/>
      <c r="C16" s="1035"/>
      <c r="D16" s="1057" t="s">
        <v>733</v>
      </c>
      <c r="E16" s="1036">
        <f>E15+590</f>
        <v>1918951</v>
      </c>
      <c r="F16" s="1036">
        <f t="shared" si="0"/>
        <v>0</v>
      </c>
      <c r="G16" s="1042"/>
      <c r="H16" s="1042"/>
      <c r="I16" s="1042"/>
      <c r="J16" s="1042"/>
      <c r="K16" s="1042"/>
      <c r="L16" s="1042"/>
      <c r="M16" s="1042"/>
      <c r="N16" s="1042"/>
      <c r="O16" s="1042"/>
      <c r="P16" s="1042"/>
      <c r="Q16" s="1042"/>
      <c r="R16" s="1038"/>
      <c r="S16" s="1039"/>
      <c r="T16" s="1032"/>
      <c r="U16" s="1032"/>
      <c r="V16" s="1032"/>
      <c r="W16" s="1032"/>
      <c r="X16" s="1032"/>
    </row>
    <row r="17" spans="1:24" ht="21" customHeight="1">
      <c r="A17" s="1033"/>
      <c r="B17" s="1034"/>
      <c r="C17" s="1035"/>
      <c r="D17" s="1057" t="s">
        <v>799</v>
      </c>
      <c r="E17" s="1036">
        <v>1942693</v>
      </c>
      <c r="F17" s="1036">
        <v>0</v>
      </c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38"/>
      <c r="S17" s="1039"/>
      <c r="T17" s="1032"/>
      <c r="U17" s="1032"/>
      <c r="V17" s="1032"/>
      <c r="W17" s="1032"/>
      <c r="X17" s="1032"/>
    </row>
    <row r="18" spans="1:24" ht="21" customHeight="1">
      <c r="A18" s="1033" t="s">
        <v>320</v>
      </c>
      <c r="B18" s="1034" t="s">
        <v>321</v>
      </c>
      <c r="C18" s="1035" t="s">
        <v>322</v>
      </c>
      <c r="D18" s="1041" t="s">
        <v>4</v>
      </c>
      <c r="E18" s="1036">
        <v>2700</v>
      </c>
      <c r="F18" s="1036">
        <f t="shared" si="0"/>
        <v>3600</v>
      </c>
      <c r="G18" s="1042"/>
      <c r="H18" s="1042"/>
      <c r="I18" s="1042">
        <v>3600</v>
      </c>
      <c r="J18" s="1042"/>
      <c r="K18" s="1042"/>
      <c r="L18" s="1042"/>
      <c r="M18" s="1042"/>
      <c r="N18" s="1042"/>
      <c r="O18" s="1042"/>
      <c r="P18" s="1042"/>
      <c r="Q18" s="1042"/>
      <c r="R18" s="1038"/>
      <c r="S18" s="1039"/>
      <c r="T18" s="1032"/>
      <c r="U18" s="1032"/>
      <c r="V18" s="1032"/>
      <c r="W18" s="1032"/>
      <c r="X18" s="1032"/>
    </row>
    <row r="19" spans="1:24" ht="21" customHeight="1" hidden="1">
      <c r="A19" s="1033"/>
      <c r="B19" s="1034"/>
      <c r="C19" s="1035"/>
      <c r="D19" s="1057" t="s">
        <v>668</v>
      </c>
      <c r="E19" s="1036">
        <v>2700</v>
      </c>
      <c r="F19" s="1036">
        <f t="shared" si="0"/>
        <v>4100</v>
      </c>
      <c r="G19" s="1042"/>
      <c r="H19" s="1042"/>
      <c r="I19" s="1042">
        <v>3600</v>
      </c>
      <c r="J19" s="1042">
        <v>500</v>
      </c>
      <c r="K19" s="1042"/>
      <c r="L19" s="1042"/>
      <c r="M19" s="1042"/>
      <c r="N19" s="1042"/>
      <c r="O19" s="1042"/>
      <c r="P19" s="1042"/>
      <c r="Q19" s="1042"/>
      <c r="R19" s="1038"/>
      <c r="S19" s="1039"/>
      <c r="T19" s="1032"/>
      <c r="U19" s="1032"/>
      <c r="V19" s="1032"/>
      <c r="W19" s="1032"/>
      <c r="X19" s="1032"/>
    </row>
    <row r="20" spans="1:24" ht="21" customHeight="1">
      <c r="A20" s="1033"/>
      <c r="B20" s="1034"/>
      <c r="C20" s="1035"/>
      <c r="D20" s="1057" t="s">
        <v>733</v>
      </c>
      <c r="E20" s="1036">
        <v>2700</v>
      </c>
      <c r="F20" s="1036">
        <f t="shared" si="0"/>
        <v>4100</v>
      </c>
      <c r="G20" s="1042"/>
      <c r="H20" s="1042"/>
      <c r="I20" s="1042">
        <v>3600</v>
      </c>
      <c r="J20" s="1042">
        <v>500</v>
      </c>
      <c r="K20" s="1042"/>
      <c r="L20" s="1042"/>
      <c r="M20" s="1042"/>
      <c r="N20" s="1042"/>
      <c r="O20" s="1042"/>
      <c r="P20" s="1042"/>
      <c r="Q20" s="1042"/>
      <c r="R20" s="1038"/>
      <c r="S20" s="1039"/>
      <c r="T20" s="1032"/>
      <c r="U20" s="1032"/>
      <c r="V20" s="1032"/>
      <c r="W20" s="1032"/>
      <c r="X20" s="1032"/>
    </row>
    <row r="21" spans="1:24" ht="21" customHeight="1">
      <c r="A21" s="1033"/>
      <c r="B21" s="1034"/>
      <c r="C21" s="1035"/>
      <c r="D21" s="1057" t="s">
        <v>799</v>
      </c>
      <c r="E21" s="1036">
        <v>2700</v>
      </c>
      <c r="F21" s="1036">
        <f t="shared" si="0"/>
        <v>4100</v>
      </c>
      <c r="G21" s="1042"/>
      <c r="H21" s="1042"/>
      <c r="I21" s="1042">
        <v>3600</v>
      </c>
      <c r="J21" s="1042">
        <v>500</v>
      </c>
      <c r="K21" s="1042"/>
      <c r="L21" s="1042"/>
      <c r="M21" s="1042"/>
      <c r="N21" s="1042"/>
      <c r="O21" s="1042"/>
      <c r="P21" s="1042"/>
      <c r="Q21" s="1042"/>
      <c r="R21" s="1038"/>
      <c r="S21" s="1039"/>
      <c r="T21" s="1032"/>
      <c r="U21" s="1032"/>
      <c r="V21" s="1032"/>
      <c r="W21" s="1032"/>
      <c r="X21" s="1032"/>
    </row>
    <row r="22" spans="1:24" ht="21" customHeight="1">
      <c r="A22" s="1033" t="s">
        <v>317</v>
      </c>
      <c r="B22" s="1034" t="s">
        <v>323</v>
      </c>
      <c r="C22" s="1035" t="s">
        <v>324</v>
      </c>
      <c r="D22" s="1041" t="s">
        <v>4</v>
      </c>
      <c r="E22" s="1036">
        <v>5969</v>
      </c>
      <c r="F22" s="1036">
        <f t="shared" si="0"/>
        <v>17143</v>
      </c>
      <c r="G22" s="1037"/>
      <c r="H22" s="1037"/>
      <c r="I22" s="1037">
        <v>17143</v>
      </c>
      <c r="J22" s="1037"/>
      <c r="K22" s="1037"/>
      <c r="L22" s="1037"/>
      <c r="M22" s="1037"/>
      <c r="N22" s="1037"/>
      <c r="O22" s="1037"/>
      <c r="P22" s="1037"/>
      <c r="Q22" s="1037"/>
      <c r="R22" s="1038"/>
      <c r="S22" s="1039"/>
      <c r="T22" s="1032"/>
      <c r="U22" s="1032"/>
      <c r="V22" s="1032"/>
      <c r="W22" s="1032"/>
      <c r="X22" s="1032"/>
    </row>
    <row r="23" spans="1:24" ht="21" customHeight="1" hidden="1">
      <c r="A23" s="1033"/>
      <c r="B23" s="1034"/>
      <c r="C23" s="1035"/>
      <c r="D23" s="1057" t="s">
        <v>668</v>
      </c>
      <c r="E23" s="1036">
        <v>5969</v>
      </c>
      <c r="F23" s="1036">
        <f t="shared" si="0"/>
        <v>17143</v>
      </c>
      <c r="G23" s="1037"/>
      <c r="H23" s="1037"/>
      <c r="I23" s="1037">
        <v>16508</v>
      </c>
      <c r="J23" s="1037">
        <v>635</v>
      </c>
      <c r="K23" s="1037"/>
      <c r="L23" s="1037"/>
      <c r="M23" s="1037"/>
      <c r="N23" s="1037"/>
      <c r="O23" s="1037"/>
      <c r="P23" s="1037"/>
      <c r="Q23" s="1037"/>
      <c r="R23" s="1038"/>
      <c r="S23" s="1039"/>
      <c r="T23" s="1032"/>
      <c r="U23" s="1032"/>
      <c r="V23" s="1032"/>
      <c r="W23" s="1032"/>
      <c r="X23" s="1032"/>
    </row>
    <row r="24" spans="1:24" ht="21" customHeight="1">
      <c r="A24" s="1033"/>
      <c r="B24" s="1034"/>
      <c r="C24" s="1035"/>
      <c r="D24" s="1057" t="s">
        <v>733</v>
      </c>
      <c r="E24" s="1036">
        <f>E23+1215</f>
        <v>7184</v>
      </c>
      <c r="F24" s="1036">
        <f t="shared" si="0"/>
        <v>16831</v>
      </c>
      <c r="G24" s="1037"/>
      <c r="H24" s="1037"/>
      <c r="I24" s="1037">
        <f>I23-312</f>
        <v>16196</v>
      </c>
      <c r="J24" s="1037">
        <v>635</v>
      </c>
      <c r="K24" s="1037"/>
      <c r="L24" s="1037"/>
      <c r="M24" s="1037"/>
      <c r="N24" s="1037"/>
      <c r="O24" s="1037"/>
      <c r="P24" s="1037"/>
      <c r="Q24" s="1037"/>
      <c r="R24" s="1038"/>
      <c r="S24" s="1039"/>
      <c r="T24" s="1032"/>
      <c r="U24" s="1032"/>
      <c r="V24" s="1032"/>
      <c r="W24" s="1032"/>
      <c r="X24" s="1032"/>
    </row>
    <row r="25" spans="1:24" ht="21" customHeight="1">
      <c r="A25" s="1033"/>
      <c r="B25" s="1034"/>
      <c r="C25" s="1035"/>
      <c r="D25" s="1057" t="s">
        <v>799</v>
      </c>
      <c r="E25" s="1036">
        <v>7184</v>
      </c>
      <c r="F25" s="1036">
        <f t="shared" si="0"/>
        <v>16831</v>
      </c>
      <c r="G25" s="1037"/>
      <c r="H25" s="1037"/>
      <c r="I25" s="1037">
        <v>16196</v>
      </c>
      <c r="J25" s="1037">
        <v>635</v>
      </c>
      <c r="K25" s="1037"/>
      <c r="L25" s="1037"/>
      <c r="M25" s="1037"/>
      <c r="N25" s="1037"/>
      <c r="O25" s="1037"/>
      <c r="P25" s="1037"/>
      <c r="Q25" s="1037"/>
      <c r="R25" s="1038"/>
      <c r="S25" s="1039"/>
      <c r="T25" s="1032"/>
      <c r="U25" s="1032"/>
      <c r="V25" s="1032"/>
      <c r="W25" s="1032"/>
      <c r="X25" s="1032"/>
    </row>
    <row r="26" spans="1:24" ht="21" customHeight="1">
      <c r="A26" s="1033" t="s">
        <v>317</v>
      </c>
      <c r="B26" s="1034" t="s">
        <v>325</v>
      </c>
      <c r="C26" s="1035" t="s">
        <v>326</v>
      </c>
      <c r="D26" s="1041" t="s">
        <v>4</v>
      </c>
      <c r="E26" s="1036">
        <v>2589024</v>
      </c>
      <c r="F26" s="1036">
        <f t="shared" si="0"/>
        <v>2520749</v>
      </c>
      <c r="G26" s="1037"/>
      <c r="H26" s="1037"/>
      <c r="I26" s="1037">
        <v>342829</v>
      </c>
      <c r="J26" s="1037"/>
      <c r="K26" s="1037"/>
      <c r="L26" s="1037"/>
      <c r="M26" s="1037">
        <v>96344</v>
      </c>
      <c r="N26" s="1037">
        <v>1926076</v>
      </c>
      <c r="O26" s="1037">
        <v>149000</v>
      </c>
      <c r="P26" s="1037"/>
      <c r="Q26" s="1037">
        <v>6500</v>
      </c>
      <c r="R26" s="1038"/>
      <c r="S26" s="1039"/>
      <c r="T26" s="1032"/>
      <c r="U26" s="1032"/>
      <c r="V26" s="1032"/>
      <c r="W26" s="1032"/>
      <c r="X26" s="1032"/>
    </row>
    <row r="27" spans="1:24" ht="21" customHeight="1" hidden="1">
      <c r="A27" s="1033"/>
      <c r="B27" s="1034"/>
      <c r="C27" s="1035"/>
      <c r="D27" s="1057" t="s">
        <v>668</v>
      </c>
      <c r="E27" s="1036">
        <v>2604792</v>
      </c>
      <c r="F27" s="1036">
        <f t="shared" si="0"/>
        <v>2558800</v>
      </c>
      <c r="G27" s="1037">
        <v>3110</v>
      </c>
      <c r="H27" s="1037">
        <v>756</v>
      </c>
      <c r="I27" s="1037">
        <v>441823</v>
      </c>
      <c r="J27" s="1037">
        <v>6500</v>
      </c>
      <c r="K27" s="1037"/>
      <c r="L27" s="1037"/>
      <c r="M27" s="1037">
        <v>110294</v>
      </c>
      <c r="N27" s="1037">
        <v>1834547</v>
      </c>
      <c r="O27" s="1037">
        <v>161770</v>
      </c>
      <c r="P27" s="1037"/>
      <c r="Q27" s="1037"/>
      <c r="R27" s="1038"/>
      <c r="S27" s="1039"/>
      <c r="T27" s="1032"/>
      <c r="U27" s="1032"/>
      <c r="V27" s="1032"/>
      <c r="W27" s="1032"/>
      <c r="X27" s="1032"/>
    </row>
    <row r="28" spans="1:24" ht="21" customHeight="1">
      <c r="A28" s="1033"/>
      <c r="B28" s="1034"/>
      <c r="C28" s="1035"/>
      <c r="D28" s="1057" t="s">
        <v>733</v>
      </c>
      <c r="E28" s="1036">
        <v>2567155</v>
      </c>
      <c r="F28" s="1036">
        <f t="shared" si="0"/>
        <v>2512639</v>
      </c>
      <c r="G28" s="1037">
        <v>3110</v>
      </c>
      <c r="H28" s="1037">
        <v>756</v>
      </c>
      <c r="I28" s="1037">
        <f>I27-111401+456+1265</f>
        <v>332143</v>
      </c>
      <c r="J28" s="1037">
        <v>6500</v>
      </c>
      <c r="K28" s="1037"/>
      <c r="L28" s="1037"/>
      <c r="M28" s="1037">
        <f>M27-4187</f>
        <v>106107</v>
      </c>
      <c r="N28" s="1037">
        <f>N27+50724-1934</f>
        <v>1883337</v>
      </c>
      <c r="O28" s="1037">
        <f>O27+18916</f>
        <v>180686</v>
      </c>
      <c r="P28" s="1037"/>
      <c r="Q28" s="1037"/>
      <c r="R28" s="1038"/>
      <c r="S28" s="1039"/>
      <c r="T28" s="1032"/>
      <c r="U28" s="1032"/>
      <c r="V28" s="1032"/>
      <c r="W28" s="1032"/>
      <c r="X28" s="1032"/>
    </row>
    <row r="29" spans="1:24" ht="21" customHeight="1">
      <c r="A29" s="1033"/>
      <c r="B29" s="1034"/>
      <c r="C29" s="1035"/>
      <c r="D29" s="1057" t="s">
        <v>799</v>
      </c>
      <c r="E29" s="1036">
        <v>2455477</v>
      </c>
      <c r="F29" s="1036">
        <f t="shared" si="0"/>
        <v>2356671</v>
      </c>
      <c r="G29" s="1037">
        <v>4712</v>
      </c>
      <c r="H29" s="1037">
        <v>1189</v>
      </c>
      <c r="I29" s="1037">
        <v>351153</v>
      </c>
      <c r="J29" s="1037">
        <v>39268</v>
      </c>
      <c r="K29" s="1037"/>
      <c r="L29" s="1037"/>
      <c r="M29" s="1037">
        <v>112976</v>
      </c>
      <c r="N29" s="1037">
        <v>1666687</v>
      </c>
      <c r="O29" s="1037">
        <v>180686</v>
      </c>
      <c r="P29" s="1037"/>
      <c r="Q29" s="1037"/>
      <c r="R29" s="1038"/>
      <c r="S29" s="1039"/>
      <c r="T29" s="1032"/>
      <c r="U29" s="1032"/>
      <c r="V29" s="1032"/>
      <c r="W29" s="1032"/>
      <c r="X29" s="1032"/>
    </row>
    <row r="30" spans="1:24" ht="21" customHeight="1">
      <c r="A30" s="1033" t="s">
        <v>320</v>
      </c>
      <c r="B30" s="1034" t="s">
        <v>327</v>
      </c>
      <c r="C30" s="1035" t="s">
        <v>328</v>
      </c>
      <c r="D30" s="1041" t="s">
        <v>4</v>
      </c>
      <c r="E30" s="1036"/>
      <c r="F30" s="1036">
        <f t="shared" si="0"/>
        <v>4610</v>
      </c>
      <c r="G30" s="1042">
        <v>3050</v>
      </c>
      <c r="H30" s="1042">
        <v>1560</v>
      </c>
      <c r="I30" s="1042"/>
      <c r="J30" s="1042"/>
      <c r="K30" s="1042"/>
      <c r="L30" s="1042"/>
      <c r="M30" s="1042"/>
      <c r="N30" s="1042"/>
      <c r="O30" s="1042"/>
      <c r="P30" s="1042"/>
      <c r="Q30" s="1042"/>
      <c r="R30" s="1038"/>
      <c r="S30" s="1039"/>
      <c r="T30" s="1032"/>
      <c r="U30" s="1032"/>
      <c r="V30" s="1032"/>
      <c r="W30" s="1032"/>
      <c r="X30" s="1032"/>
    </row>
    <row r="31" spans="1:24" ht="21" customHeight="1" hidden="1">
      <c r="A31" s="1033"/>
      <c r="B31" s="1034"/>
      <c r="C31" s="1035"/>
      <c r="D31" s="1057" t="s">
        <v>668</v>
      </c>
      <c r="E31" s="1036"/>
      <c r="F31" s="1036">
        <f t="shared" si="0"/>
        <v>4610</v>
      </c>
      <c r="G31" s="1042">
        <v>3050</v>
      </c>
      <c r="H31" s="1042">
        <v>1560</v>
      </c>
      <c r="I31" s="1042"/>
      <c r="J31" s="1042"/>
      <c r="K31" s="1042"/>
      <c r="L31" s="1042"/>
      <c r="M31" s="1042"/>
      <c r="N31" s="1042"/>
      <c r="O31" s="1042"/>
      <c r="P31" s="1042"/>
      <c r="Q31" s="1042"/>
      <c r="R31" s="1038"/>
      <c r="S31" s="1039"/>
      <c r="T31" s="1032"/>
      <c r="U31" s="1032"/>
      <c r="V31" s="1032"/>
      <c r="W31" s="1032"/>
      <c r="X31" s="1032"/>
    </row>
    <row r="32" spans="1:24" ht="21" customHeight="1">
      <c r="A32" s="1033"/>
      <c r="B32" s="1034"/>
      <c r="C32" s="1035"/>
      <c r="D32" s="1057" t="s">
        <v>733</v>
      </c>
      <c r="E32" s="1036"/>
      <c r="F32" s="1036">
        <f t="shared" si="0"/>
        <v>4610</v>
      </c>
      <c r="G32" s="1042">
        <v>3050</v>
      </c>
      <c r="H32" s="1042">
        <v>1560</v>
      </c>
      <c r="I32" s="1042"/>
      <c r="J32" s="1042"/>
      <c r="K32" s="1042"/>
      <c r="L32" s="1042"/>
      <c r="M32" s="1042"/>
      <c r="N32" s="1042"/>
      <c r="O32" s="1042"/>
      <c r="P32" s="1042"/>
      <c r="Q32" s="1042"/>
      <c r="R32" s="1038"/>
      <c r="S32" s="1039"/>
      <c r="T32" s="1032"/>
      <c r="U32" s="1032"/>
      <c r="V32" s="1032"/>
      <c r="W32" s="1032"/>
      <c r="X32" s="1032"/>
    </row>
    <row r="33" spans="1:24" ht="21" customHeight="1">
      <c r="A33" s="1033"/>
      <c r="B33" s="1034"/>
      <c r="C33" s="1035"/>
      <c r="D33" s="1057" t="s">
        <v>799</v>
      </c>
      <c r="E33" s="1036"/>
      <c r="F33" s="1036">
        <f t="shared" si="0"/>
        <v>3210</v>
      </c>
      <c r="G33" s="1042">
        <v>1950</v>
      </c>
      <c r="H33" s="1042">
        <v>1260</v>
      </c>
      <c r="I33" s="1042"/>
      <c r="J33" s="1042"/>
      <c r="K33" s="1042"/>
      <c r="L33" s="1042"/>
      <c r="M33" s="1042"/>
      <c r="N33" s="1042"/>
      <c r="O33" s="1042"/>
      <c r="P33" s="1042"/>
      <c r="Q33" s="1042"/>
      <c r="R33" s="1038"/>
      <c r="S33" s="1039"/>
      <c r="T33" s="1032"/>
      <c r="U33" s="1032"/>
      <c r="V33" s="1032"/>
      <c r="W33" s="1032"/>
      <c r="X33" s="1032"/>
    </row>
    <row r="34" spans="1:24" ht="21" customHeight="1">
      <c r="A34" s="1033" t="s">
        <v>320</v>
      </c>
      <c r="B34" s="1034" t="s">
        <v>327</v>
      </c>
      <c r="C34" s="1035" t="s">
        <v>329</v>
      </c>
      <c r="D34" s="1041" t="s">
        <v>4</v>
      </c>
      <c r="E34" s="1036">
        <v>2600</v>
      </c>
      <c r="F34" s="1036">
        <f t="shared" si="0"/>
        <v>5274</v>
      </c>
      <c r="G34" s="1042">
        <v>2000</v>
      </c>
      <c r="H34" s="1042">
        <v>1024</v>
      </c>
      <c r="I34" s="1042">
        <v>2250</v>
      </c>
      <c r="J34" s="1042"/>
      <c r="K34" s="1042"/>
      <c r="L34" s="1042"/>
      <c r="M34" s="1042"/>
      <c r="N34" s="1042"/>
      <c r="O34" s="1042"/>
      <c r="P34" s="1042"/>
      <c r="Q34" s="1042"/>
      <c r="R34" s="1038"/>
      <c r="S34" s="1039"/>
      <c r="T34" s="1032"/>
      <c r="U34" s="1032"/>
      <c r="V34" s="1032"/>
      <c r="W34" s="1032"/>
      <c r="X34" s="1032"/>
    </row>
    <row r="35" spans="1:24" ht="21" customHeight="1" hidden="1">
      <c r="A35" s="1033"/>
      <c r="B35" s="1034"/>
      <c r="C35" s="1035"/>
      <c r="D35" s="1057" t="s">
        <v>668</v>
      </c>
      <c r="E35" s="1036">
        <v>2600</v>
      </c>
      <c r="F35" s="1036">
        <f t="shared" si="0"/>
        <v>5274</v>
      </c>
      <c r="G35" s="1042">
        <v>2000</v>
      </c>
      <c r="H35" s="1042">
        <v>1024</v>
      </c>
      <c r="I35" s="1042">
        <v>2250</v>
      </c>
      <c r="J35" s="1042"/>
      <c r="K35" s="1042"/>
      <c r="L35" s="1042"/>
      <c r="M35" s="1042"/>
      <c r="N35" s="1042"/>
      <c r="O35" s="1042"/>
      <c r="P35" s="1042"/>
      <c r="Q35" s="1042"/>
      <c r="R35" s="1038"/>
      <c r="S35" s="1039"/>
      <c r="T35" s="1032"/>
      <c r="U35" s="1032"/>
      <c r="V35" s="1032"/>
      <c r="W35" s="1032"/>
      <c r="X35" s="1032"/>
    </row>
    <row r="36" spans="1:24" ht="21" customHeight="1">
      <c r="A36" s="1033"/>
      <c r="B36" s="1034"/>
      <c r="C36" s="1035"/>
      <c r="D36" s="1057" t="s">
        <v>733</v>
      </c>
      <c r="E36" s="1036">
        <v>2600</v>
      </c>
      <c r="F36" s="1036">
        <f t="shared" si="0"/>
        <v>4224</v>
      </c>
      <c r="G36" s="1042">
        <v>2000</v>
      </c>
      <c r="H36" s="1042">
        <v>1024</v>
      </c>
      <c r="I36" s="1042">
        <v>644</v>
      </c>
      <c r="J36" s="1042"/>
      <c r="K36" s="1042"/>
      <c r="L36" s="1042"/>
      <c r="M36" s="1042"/>
      <c r="N36" s="1042">
        <v>556</v>
      </c>
      <c r="O36" s="1042"/>
      <c r="P36" s="1042"/>
      <c r="Q36" s="1042"/>
      <c r="R36" s="1038"/>
      <c r="S36" s="1039"/>
      <c r="T36" s="1032"/>
      <c r="U36" s="1032"/>
      <c r="V36" s="1032"/>
      <c r="W36" s="1032"/>
      <c r="X36" s="1032"/>
    </row>
    <row r="37" spans="1:24" ht="21" customHeight="1">
      <c r="A37" s="1033"/>
      <c r="B37" s="1034"/>
      <c r="C37" s="1035"/>
      <c r="D37" s="1057" t="s">
        <v>799</v>
      </c>
      <c r="E37" s="1036">
        <v>2600</v>
      </c>
      <c r="F37" s="1036">
        <f t="shared" si="0"/>
        <v>4224</v>
      </c>
      <c r="G37" s="1042">
        <v>2000</v>
      </c>
      <c r="H37" s="1042">
        <v>1024</v>
      </c>
      <c r="I37" s="1042">
        <v>644</v>
      </c>
      <c r="J37" s="1042"/>
      <c r="K37" s="1042"/>
      <c r="L37" s="1042"/>
      <c r="M37" s="1042"/>
      <c r="N37" s="1042">
        <v>556</v>
      </c>
      <c r="O37" s="1042"/>
      <c r="P37" s="1042"/>
      <c r="Q37" s="1042"/>
      <c r="R37" s="1038"/>
      <c r="S37" s="1039"/>
      <c r="T37" s="1032"/>
      <c r="U37" s="1032"/>
      <c r="V37" s="1032"/>
      <c r="W37" s="1032"/>
      <c r="X37" s="1032"/>
    </row>
    <row r="38" spans="1:24" ht="21" customHeight="1">
      <c r="A38" s="1033" t="s">
        <v>320</v>
      </c>
      <c r="B38" s="1034" t="s">
        <v>327</v>
      </c>
      <c r="C38" s="1035" t="s">
        <v>330</v>
      </c>
      <c r="D38" s="1041" t="s">
        <v>4</v>
      </c>
      <c r="E38" s="1036"/>
      <c r="F38" s="1036">
        <f t="shared" si="0"/>
        <v>7485</v>
      </c>
      <c r="G38" s="1042">
        <v>4950</v>
      </c>
      <c r="H38" s="1042">
        <v>2535</v>
      </c>
      <c r="I38" s="1042"/>
      <c r="J38" s="1042"/>
      <c r="K38" s="1042"/>
      <c r="L38" s="1042"/>
      <c r="M38" s="1042"/>
      <c r="N38" s="1042"/>
      <c r="O38" s="1042"/>
      <c r="P38" s="1042"/>
      <c r="Q38" s="1042"/>
      <c r="R38" s="1038"/>
      <c r="S38" s="1039"/>
      <c r="T38" s="1032"/>
      <c r="U38" s="1032"/>
      <c r="V38" s="1032"/>
      <c r="W38" s="1032"/>
      <c r="X38" s="1032"/>
    </row>
    <row r="39" spans="1:24" ht="21" customHeight="1" hidden="1">
      <c r="A39" s="1033"/>
      <c r="B39" s="1034"/>
      <c r="C39" s="1035"/>
      <c r="D39" s="1057" t="s">
        <v>668</v>
      </c>
      <c r="E39" s="1036"/>
      <c r="F39" s="1036">
        <f t="shared" si="0"/>
        <v>7485</v>
      </c>
      <c r="G39" s="1042">
        <v>4950</v>
      </c>
      <c r="H39" s="1042">
        <v>2535</v>
      </c>
      <c r="I39" s="1042"/>
      <c r="J39" s="1042"/>
      <c r="K39" s="1042"/>
      <c r="L39" s="1042"/>
      <c r="M39" s="1042"/>
      <c r="N39" s="1042"/>
      <c r="O39" s="1042"/>
      <c r="P39" s="1042"/>
      <c r="Q39" s="1042"/>
      <c r="R39" s="1038"/>
      <c r="S39" s="1039"/>
      <c r="T39" s="1032"/>
      <c r="U39" s="1032"/>
      <c r="V39" s="1032"/>
      <c r="W39" s="1032"/>
      <c r="X39" s="1032"/>
    </row>
    <row r="40" spans="1:24" ht="21" customHeight="1">
      <c r="A40" s="1033"/>
      <c r="B40" s="1034"/>
      <c r="C40" s="1035"/>
      <c r="D40" s="1057" t="s">
        <v>733</v>
      </c>
      <c r="E40" s="1036"/>
      <c r="F40" s="1036">
        <f t="shared" si="0"/>
        <v>7492</v>
      </c>
      <c r="G40" s="1042">
        <f>G39+7</f>
        <v>4957</v>
      </c>
      <c r="H40" s="1042">
        <v>2535</v>
      </c>
      <c r="I40" s="1042"/>
      <c r="J40" s="1042"/>
      <c r="K40" s="1042"/>
      <c r="L40" s="1042"/>
      <c r="M40" s="1042"/>
      <c r="N40" s="1042"/>
      <c r="O40" s="1042"/>
      <c r="P40" s="1042"/>
      <c r="Q40" s="1042"/>
      <c r="R40" s="1038"/>
      <c r="S40" s="1039"/>
      <c r="T40" s="1032"/>
      <c r="U40" s="1032"/>
      <c r="V40" s="1032"/>
      <c r="W40" s="1032"/>
      <c r="X40" s="1032"/>
    </row>
    <row r="41" spans="1:24" ht="21" customHeight="1">
      <c r="A41" s="1033"/>
      <c r="B41" s="1034"/>
      <c r="C41" s="1035"/>
      <c r="D41" s="1057" t="s">
        <v>799</v>
      </c>
      <c r="E41" s="1036"/>
      <c r="F41" s="1036">
        <f t="shared" si="0"/>
        <v>6743</v>
      </c>
      <c r="G41" s="1042">
        <v>4367</v>
      </c>
      <c r="H41" s="1042">
        <v>2376</v>
      </c>
      <c r="I41" s="1042"/>
      <c r="J41" s="1042"/>
      <c r="K41" s="1042"/>
      <c r="L41" s="1042"/>
      <c r="M41" s="1042"/>
      <c r="N41" s="1042"/>
      <c r="O41" s="1042"/>
      <c r="P41" s="1042"/>
      <c r="Q41" s="1042"/>
      <c r="R41" s="1038"/>
      <c r="S41" s="1039"/>
      <c r="T41" s="1032"/>
      <c r="U41" s="1032"/>
      <c r="V41" s="1032"/>
      <c r="W41" s="1032"/>
      <c r="X41" s="1032"/>
    </row>
    <row r="42" spans="1:24" ht="21" customHeight="1">
      <c r="A42" s="1033" t="s">
        <v>320</v>
      </c>
      <c r="B42" s="1034" t="s">
        <v>327</v>
      </c>
      <c r="C42" s="1035" t="s">
        <v>331</v>
      </c>
      <c r="D42" s="1041" t="s">
        <v>4</v>
      </c>
      <c r="E42" s="1036"/>
      <c r="F42" s="1036">
        <f t="shared" si="0"/>
        <v>4500</v>
      </c>
      <c r="G42" s="1042">
        <v>3290</v>
      </c>
      <c r="H42" s="1042">
        <v>1210</v>
      </c>
      <c r="I42" s="1042"/>
      <c r="J42" s="1042"/>
      <c r="K42" s="1042"/>
      <c r="L42" s="1042"/>
      <c r="M42" s="1042"/>
      <c r="N42" s="1042"/>
      <c r="O42" s="1042"/>
      <c r="P42" s="1042"/>
      <c r="Q42" s="1042"/>
      <c r="R42" s="1038"/>
      <c r="S42" s="1039"/>
      <c r="T42" s="1032"/>
      <c r="U42" s="1032"/>
      <c r="V42" s="1032"/>
      <c r="W42" s="1032"/>
      <c r="X42" s="1032"/>
    </row>
    <row r="43" spans="1:24" ht="21" customHeight="1" hidden="1">
      <c r="A43" s="1033"/>
      <c r="B43" s="1034"/>
      <c r="C43" s="1035"/>
      <c r="D43" s="1057" t="s">
        <v>668</v>
      </c>
      <c r="E43" s="1036"/>
      <c r="F43" s="1036">
        <f t="shared" si="0"/>
        <v>4500</v>
      </c>
      <c r="G43" s="1042">
        <v>3290</v>
      </c>
      <c r="H43" s="1042">
        <v>1210</v>
      </c>
      <c r="I43" s="1042"/>
      <c r="J43" s="1042"/>
      <c r="K43" s="1042"/>
      <c r="L43" s="1042"/>
      <c r="M43" s="1042"/>
      <c r="N43" s="1042"/>
      <c r="O43" s="1042"/>
      <c r="P43" s="1042"/>
      <c r="Q43" s="1042"/>
      <c r="R43" s="1038"/>
      <c r="S43" s="1039"/>
      <c r="T43" s="1032"/>
      <c r="U43" s="1032"/>
      <c r="V43" s="1032"/>
      <c r="W43" s="1032"/>
      <c r="X43" s="1032"/>
    </row>
    <row r="44" spans="1:24" ht="21" customHeight="1">
      <c r="A44" s="1033"/>
      <c r="B44" s="1034"/>
      <c r="C44" s="1035"/>
      <c r="D44" s="1057" t="s">
        <v>733</v>
      </c>
      <c r="E44" s="1036"/>
      <c r="F44" s="1036">
        <f t="shared" si="0"/>
        <v>4500</v>
      </c>
      <c r="G44" s="1042">
        <v>3290</v>
      </c>
      <c r="H44" s="1042">
        <v>1210</v>
      </c>
      <c r="I44" s="1042"/>
      <c r="J44" s="1042"/>
      <c r="K44" s="1042"/>
      <c r="L44" s="1042"/>
      <c r="M44" s="1042"/>
      <c r="N44" s="1042"/>
      <c r="O44" s="1042"/>
      <c r="P44" s="1042"/>
      <c r="Q44" s="1042"/>
      <c r="R44" s="1038"/>
      <c r="S44" s="1039"/>
      <c r="T44" s="1032"/>
      <c r="U44" s="1032"/>
      <c r="V44" s="1032"/>
      <c r="W44" s="1032"/>
      <c r="X44" s="1032"/>
    </row>
    <row r="45" spans="1:24" ht="21" customHeight="1">
      <c r="A45" s="1033"/>
      <c r="B45" s="1034"/>
      <c r="C45" s="1035"/>
      <c r="D45" s="1057" t="s">
        <v>799</v>
      </c>
      <c r="E45" s="1036"/>
      <c r="F45" s="1036">
        <f t="shared" si="0"/>
        <v>4500</v>
      </c>
      <c r="G45" s="1042">
        <v>3290</v>
      </c>
      <c r="H45" s="1042">
        <v>1210</v>
      </c>
      <c r="I45" s="1042"/>
      <c r="J45" s="1042"/>
      <c r="K45" s="1042"/>
      <c r="L45" s="1042"/>
      <c r="M45" s="1042"/>
      <c r="N45" s="1042"/>
      <c r="O45" s="1042"/>
      <c r="P45" s="1042"/>
      <c r="Q45" s="1042"/>
      <c r="R45" s="1038"/>
      <c r="S45" s="1039"/>
      <c r="T45" s="1032"/>
      <c r="U45" s="1032"/>
      <c r="V45" s="1032"/>
      <c r="W45" s="1032"/>
      <c r="X45" s="1032"/>
    </row>
    <row r="46" spans="1:24" ht="21" customHeight="1">
      <c r="A46" s="1033" t="s">
        <v>313</v>
      </c>
      <c r="B46" s="1034" t="s">
        <v>332</v>
      </c>
      <c r="C46" s="1035" t="s">
        <v>333</v>
      </c>
      <c r="D46" s="1041" t="s">
        <v>4</v>
      </c>
      <c r="E46" s="1036">
        <v>1107179</v>
      </c>
      <c r="F46" s="1036">
        <f t="shared" si="0"/>
        <v>0</v>
      </c>
      <c r="G46" s="1037"/>
      <c r="H46" s="1037"/>
      <c r="I46" s="1037"/>
      <c r="J46" s="1037"/>
      <c r="K46" s="1037"/>
      <c r="L46" s="1037"/>
      <c r="M46" s="1037"/>
      <c r="N46" s="1037"/>
      <c r="O46" s="1037"/>
      <c r="P46" s="1037"/>
      <c r="Q46" s="1037"/>
      <c r="R46" s="1038"/>
      <c r="S46" s="1039"/>
      <c r="T46" s="1032"/>
      <c r="U46" s="1032"/>
      <c r="V46" s="1032"/>
      <c r="W46" s="1032"/>
      <c r="X46" s="1032"/>
    </row>
    <row r="47" spans="1:24" ht="21" customHeight="1" hidden="1">
      <c r="A47" s="1033"/>
      <c r="B47" s="1034"/>
      <c r="C47" s="1035"/>
      <c r="D47" s="1057" t="s">
        <v>668</v>
      </c>
      <c r="E47" s="1036">
        <v>1130568</v>
      </c>
      <c r="F47" s="1036">
        <f t="shared" si="0"/>
        <v>35131</v>
      </c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>
        <v>35131</v>
      </c>
      <c r="R47" s="1038"/>
      <c r="S47" s="1039"/>
      <c r="T47" s="1032"/>
      <c r="U47" s="1032"/>
      <c r="V47" s="1032"/>
      <c r="W47" s="1032"/>
      <c r="X47" s="1032"/>
    </row>
    <row r="48" spans="1:24" ht="21" customHeight="1">
      <c r="A48" s="1033"/>
      <c r="B48" s="1034"/>
      <c r="C48" s="1035"/>
      <c r="D48" s="1057" t="s">
        <v>733</v>
      </c>
      <c r="E48" s="1036">
        <v>1167371</v>
      </c>
      <c r="F48" s="1036">
        <f t="shared" si="0"/>
        <v>35131</v>
      </c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>
        <v>35131</v>
      </c>
      <c r="R48" s="1038"/>
      <c r="S48" s="1039"/>
      <c r="T48" s="1032"/>
      <c r="U48" s="1032"/>
      <c r="V48" s="1032"/>
      <c r="W48" s="1032"/>
      <c r="X48" s="1032"/>
    </row>
    <row r="49" spans="1:24" ht="21" customHeight="1">
      <c r="A49" s="1033"/>
      <c r="B49" s="1034"/>
      <c r="C49" s="1035"/>
      <c r="D49" s="1057" t="s">
        <v>799</v>
      </c>
      <c r="E49" s="1036">
        <v>1185778</v>
      </c>
      <c r="F49" s="1036">
        <f t="shared" si="0"/>
        <v>35131</v>
      </c>
      <c r="G49" s="1037"/>
      <c r="H49" s="1037"/>
      <c r="I49" s="1037"/>
      <c r="J49" s="1037"/>
      <c r="K49" s="1037"/>
      <c r="L49" s="1037"/>
      <c r="M49" s="1037"/>
      <c r="N49" s="1037"/>
      <c r="O49" s="1037"/>
      <c r="P49" s="1037"/>
      <c r="Q49" s="1037">
        <v>35131</v>
      </c>
      <c r="R49" s="1038"/>
      <c r="S49" s="1039"/>
      <c r="T49" s="1032"/>
      <c r="U49" s="1032"/>
      <c r="V49" s="1032"/>
      <c r="W49" s="1032"/>
      <c r="X49" s="1032"/>
    </row>
    <row r="50" spans="1:24" ht="21" customHeight="1">
      <c r="A50" s="1033" t="s">
        <v>313</v>
      </c>
      <c r="B50" s="1034" t="s">
        <v>334</v>
      </c>
      <c r="C50" s="1035" t="s">
        <v>335</v>
      </c>
      <c r="D50" s="1041" t="s">
        <v>4</v>
      </c>
      <c r="E50" s="1036"/>
      <c r="F50" s="1036">
        <f t="shared" si="0"/>
        <v>5600</v>
      </c>
      <c r="G50" s="1042"/>
      <c r="H50" s="1042"/>
      <c r="I50" s="1042"/>
      <c r="J50" s="1042">
        <v>5600</v>
      </c>
      <c r="K50" s="1042"/>
      <c r="L50" s="1042"/>
      <c r="M50" s="1042"/>
      <c r="N50" s="1042"/>
      <c r="O50" s="1042"/>
      <c r="P50" s="1042"/>
      <c r="Q50" s="1042"/>
      <c r="R50" s="1038"/>
      <c r="S50" s="1039"/>
      <c r="T50" s="1032"/>
      <c r="U50" s="1032"/>
      <c r="V50" s="1032"/>
      <c r="W50" s="1032"/>
      <c r="X50" s="1032"/>
    </row>
    <row r="51" spans="1:24" ht="21" customHeight="1" hidden="1">
      <c r="A51" s="1033"/>
      <c r="B51" s="1034"/>
      <c r="C51" s="1035"/>
      <c r="D51" s="1057" t="s">
        <v>668</v>
      </c>
      <c r="E51" s="1036"/>
      <c r="F51" s="1036">
        <f t="shared" si="0"/>
        <v>3680</v>
      </c>
      <c r="G51" s="1042"/>
      <c r="H51" s="1042"/>
      <c r="I51" s="1042"/>
      <c r="J51" s="1042">
        <v>3680</v>
      </c>
      <c r="K51" s="1042"/>
      <c r="L51" s="1042"/>
      <c r="M51" s="1042"/>
      <c r="N51" s="1042"/>
      <c r="O51" s="1042"/>
      <c r="P51" s="1042"/>
      <c r="Q51" s="1042"/>
      <c r="R51" s="1038"/>
      <c r="S51" s="1039"/>
      <c r="T51" s="1032"/>
      <c r="U51" s="1032"/>
      <c r="V51" s="1032"/>
      <c r="W51" s="1032"/>
      <c r="X51" s="1032"/>
    </row>
    <row r="52" spans="1:24" ht="21" customHeight="1">
      <c r="A52" s="1033"/>
      <c r="B52" s="1034"/>
      <c r="C52" s="1035"/>
      <c r="D52" s="1057" t="s">
        <v>733</v>
      </c>
      <c r="E52" s="1036"/>
      <c r="F52" s="1036">
        <f t="shared" si="0"/>
        <v>14068</v>
      </c>
      <c r="G52" s="1042"/>
      <c r="H52" s="1042"/>
      <c r="I52" s="1042"/>
      <c r="J52" s="1042">
        <f>J51+10388</f>
        <v>14068</v>
      </c>
      <c r="K52" s="1042"/>
      <c r="L52" s="1042"/>
      <c r="M52" s="1042"/>
      <c r="N52" s="1042"/>
      <c r="O52" s="1042"/>
      <c r="P52" s="1042"/>
      <c r="Q52" s="1042"/>
      <c r="R52" s="1038"/>
      <c r="S52" s="1039"/>
      <c r="T52" s="1032"/>
      <c r="U52" s="1032"/>
      <c r="V52" s="1032"/>
      <c r="W52" s="1032"/>
      <c r="X52" s="1032"/>
    </row>
    <row r="53" spans="1:24" ht="21" customHeight="1">
      <c r="A53" s="1033"/>
      <c r="B53" s="1034"/>
      <c r="C53" s="1035"/>
      <c r="D53" s="1057" t="s">
        <v>799</v>
      </c>
      <c r="E53" s="1036"/>
      <c r="F53" s="1036">
        <f t="shared" si="0"/>
        <v>14068</v>
      </c>
      <c r="G53" s="1042"/>
      <c r="H53" s="1042"/>
      <c r="I53" s="1042"/>
      <c r="J53" s="1042">
        <v>14068</v>
      </c>
      <c r="K53" s="1042"/>
      <c r="L53" s="1042"/>
      <c r="M53" s="1042"/>
      <c r="N53" s="1042"/>
      <c r="O53" s="1042"/>
      <c r="P53" s="1042"/>
      <c r="Q53" s="1042"/>
      <c r="R53" s="1038"/>
      <c r="S53" s="1039"/>
      <c r="T53" s="1032"/>
      <c r="U53" s="1032"/>
      <c r="V53" s="1032"/>
      <c r="W53" s="1032"/>
      <c r="X53" s="1032"/>
    </row>
    <row r="54" spans="1:24" ht="21" customHeight="1">
      <c r="A54" s="1033" t="s">
        <v>313</v>
      </c>
      <c r="B54" s="1034" t="s">
        <v>336</v>
      </c>
      <c r="C54" s="1035" t="s">
        <v>337</v>
      </c>
      <c r="D54" s="1041" t="s">
        <v>4</v>
      </c>
      <c r="E54" s="1036"/>
      <c r="F54" s="1036">
        <f t="shared" si="0"/>
        <v>1656216</v>
      </c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37">
        <v>1656216</v>
      </c>
      <c r="S54" s="1039"/>
      <c r="T54" s="1032"/>
      <c r="U54" s="1032"/>
      <c r="V54" s="1032"/>
      <c r="W54" s="1032"/>
      <c r="X54" s="1032"/>
    </row>
    <row r="55" spans="1:24" ht="21" customHeight="1" hidden="1">
      <c r="A55" s="1033"/>
      <c r="B55" s="1034"/>
      <c r="C55" s="1035"/>
      <c r="D55" s="1057" t="s">
        <v>668</v>
      </c>
      <c r="E55" s="1036"/>
      <c r="F55" s="1036">
        <f t="shared" si="0"/>
        <v>1677686</v>
      </c>
      <c r="G55" s="1042"/>
      <c r="H55" s="1042"/>
      <c r="I55" s="1042"/>
      <c r="J55" s="1042"/>
      <c r="K55" s="1042"/>
      <c r="L55" s="1042"/>
      <c r="M55" s="1042"/>
      <c r="N55" s="1042"/>
      <c r="O55" s="1042"/>
      <c r="P55" s="1042"/>
      <c r="Q55" s="1042"/>
      <c r="R55" s="1037">
        <v>1677686</v>
      </c>
      <c r="S55" s="1039"/>
      <c r="T55" s="1032"/>
      <c r="U55" s="1032"/>
      <c r="V55" s="1032"/>
      <c r="W55" s="1032"/>
      <c r="X55" s="1032"/>
    </row>
    <row r="56" spans="1:24" ht="21" customHeight="1">
      <c r="A56" s="1033"/>
      <c r="B56" s="1034"/>
      <c r="C56" s="1035"/>
      <c r="D56" s="1057" t="s">
        <v>733</v>
      </c>
      <c r="E56" s="1036"/>
      <c r="F56" s="1036">
        <f t="shared" si="0"/>
        <v>1701357</v>
      </c>
      <c r="G56" s="1042"/>
      <c r="H56" s="1042"/>
      <c r="I56" s="1042"/>
      <c r="J56" s="1042"/>
      <c r="K56" s="1042"/>
      <c r="L56" s="1042"/>
      <c r="M56" s="1042"/>
      <c r="N56" s="1042"/>
      <c r="O56" s="1042"/>
      <c r="P56" s="1042"/>
      <c r="Q56" s="1042"/>
      <c r="R56" s="1037">
        <v>1701357</v>
      </c>
      <c r="S56" s="1039"/>
      <c r="T56" s="1032"/>
      <c r="U56" s="1032"/>
      <c r="V56" s="1032"/>
      <c r="W56" s="1032"/>
      <c r="X56" s="1032"/>
    </row>
    <row r="57" spans="1:24" ht="21" customHeight="1">
      <c r="A57" s="1033"/>
      <c r="B57" s="1034"/>
      <c r="C57" s="1035"/>
      <c r="D57" s="1057" t="s">
        <v>799</v>
      </c>
      <c r="E57" s="1036"/>
      <c r="F57" s="1036">
        <f t="shared" si="0"/>
        <v>1706186</v>
      </c>
      <c r="G57" s="1042"/>
      <c r="H57" s="1042"/>
      <c r="I57" s="1042"/>
      <c r="J57" s="1042"/>
      <c r="K57" s="1042"/>
      <c r="L57" s="1042"/>
      <c r="M57" s="1042"/>
      <c r="N57" s="1042"/>
      <c r="O57" s="1042"/>
      <c r="P57" s="1042"/>
      <c r="Q57" s="1042"/>
      <c r="R57" s="1037">
        <v>1706186</v>
      </c>
      <c r="S57" s="1039"/>
      <c r="T57" s="1032"/>
      <c r="U57" s="1032"/>
      <c r="V57" s="1032"/>
      <c r="W57" s="1032"/>
      <c r="X57" s="1032"/>
    </row>
    <row r="58" spans="1:24" ht="21" customHeight="1">
      <c r="A58" s="1033" t="s">
        <v>317</v>
      </c>
      <c r="B58" s="1034" t="s">
        <v>338</v>
      </c>
      <c r="C58" s="1035" t="s">
        <v>339</v>
      </c>
      <c r="D58" s="1041" t="s">
        <v>4</v>
      </c>
      <c r="E58" s="1036"/>
      <c r="F58" s="1036">
        <f t="shared" si="0"/>
        <v>0</v>
      </c>
      <c r="G58" s="1037"/>
      <c r="H58" s="1037"/>
      <c r="I58" s="1037"/>
      <c r="J58" s="1037"/>
      <c r="K58" s="1037"/>
      <c r="L58" s="1037"/>
      <c r="M58" s="1037"/>
      <c r="N58" s="1037"/>
      <c r="O58" s="1037"/>
      <c r="P58" s="1037"/>
      <c r="Q58" s="1037"/>
      <c r="R58" s="1038"/>
      <c r="S58" s="1039"/>
      <c r="T58" s="1032"/>
      <c r="U58" s="1032"/>
      <c r="V58" s="1032"/>
      <c r="W58" s="1032"/>
      <c r="X58" s="1032"/>
    </row>
    <row r="59" spans="1:24" ht="21" customHeight="1" hidden="1">
      <c r="A59" s="1033"/>
      <c r="B59" s="1034"/>
      <c r="C59" s="1035"/>
      <c r="D59" s="1057" t="s">
        <v>668</v>
      </c>
      <c r="E59" s="1036"/>
      <c r="F59" s="1036">
        <f t="shared" si="0"/>
        <v>0</v>
      </c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8"/>
      <c r="S59" s="1039"/>
      <c r="T59" s="1032"/>
      <c r="U59" s="1032"/>
      <c r="V59" s="1032"/>
      <c r="W59" s="1032"/>
      <c r="X59" s="1032"/>
    </row>
    <row r="60" spans="1:24" ht="21" customHeight="1">
      <c r="A60" s="1033"/>
      <c r="B60" s="1034"/>
      <c r="C60" s="1035"/>
      <c r="D60" s="1057" t="s">
        <v>733</v>
      </c>
      <c r="E60" s="1036"/>
      <c r="F60" s="1036">
        <f t="shared" si="0"/>
        <v>0</v>
      </c>
      <c r="G60" s="1037"/>
      <c r="H60" s="1037"/>
      <c r="I60" s="1037"/>
      <c r="J60" s="1037"/>
      <c r="K60" s="1037"/>
      <c r="L60" s="1037"/>
      <c r="M60" s="1037"/>
      <c r="N60" s="1037"/>
      <c r="O60" s="1037"/>
      <c r="P60" s="1037"/>
      <c r="Q60" s="1037"/>
      <c r="R60" s="1038"/>
      <c r="S60" s="1039"/>
      <c r="T60" s="1032"/>
      <c r="U60" s="1032"/>
      <c r="V60" s="1032"/>
      <c r="W60" s="1032"/>
      <c r="X60" s="1032"/>
    </row>
    <row r="61" spans="1:24" ht="21" customHeight="1">
      <c r="A61" s="1033"/>
      <c r="B61" s="1034"/>
      <c r="C61" s="1035"/>
      <c r="D61" s="1057" t="s">
        <v>799</v>
      </c>
      <c r="E61" s="1036"/>
      <c r="F61" s="1036">
        <v>0</v>
      </c>
      <c r="G61" s="1037"/>
      <c r="H61" s="1037"/>
      <c r="I61" s="1037"/>
      <c r="J61" s="1037"/>
      <c r="K61" s="1037"/>
      <c r="L61" s="1037"/>
      <c r="M61" s="1037"/>
      <c r="N61" s="1037"/>
      <c r="O61" s="1037"/>
      <c r="P61" s="1037"/>
      <c r="Q61" s="1037"/>
      <c r="R61" s="1038"/>
      <c r="S61" s="1039"/>
      <c r="T61" s="1032"/>
      <c r="U61" s="1032"/>
      <c r="V61" s="1032"/>
      <c r="W61" s="1032"/>
      <c r="X61" s="1032"/>
    </row>
    <row r="62" spans="1:24" ht="21" customHeight="1">
      <c r="A62" s="1033" t="s">
        <v>317</v>
      </c>
      <c r="B62" s="1034" t="s">
        <v>340</v>
      </c>
      <c r="C62" s="1035" t="s">
        <v>197</v>
      </c>
      <c r="D62" s="1041" t="s">
        <v>4</v>
      </c>
      <c r="E62" s="1036"/>
      <c r="F62" s="1036">
        <f t="shared" si="0"/>
        <v>2000</v>
      </c>
      <c r="G62" s="1042"/>
      <c r="H62" s="1042"/>
      <c r="I62" s="1042"/>
      <c r="J62" s="1042">
        <v>2000</v>
      </c>
      <c r="K62" s="1042"/>
      <c r="L62" s="1042"/>
      <c r="M62" s="1042"/>
      <c r="N62" s="1042"/>
      <c r="O62" s="1042"/>
      <c r="P62" s="1042"/>
      <c r="Q62" s="1042"/>
      <c r="R62" s="1038"/>
      <c r="S62" s="1039"/>
      <c r="T62" s="1032"/>
      <c r="U62" s="1032"/>
      <c r="V62" s="1032"/>
      <c r="W62" s="1032"/>
      <c r="X62" s="1032"/>
    </row>
    <row r="63" spans="1:24" ht="21" customHeight="1" hidden="1">
      <c r="A63" s="1033"/>
      <c r="B63" s="1034"/>
      <c r="C63" s="1035"/>
      <c r="D63" s="1057" t="s">
        <v>668</v>
      </c>
      <c r="E63" s="1036"/>
      <c r="F63" s="1036">
        <f t="shared" si="0"/>
        <v>2000</v>
      </c>
      <c r="G63" s="1042"/>
      <c r="H63" s="1042"/>
      <c r="I63" s="1042"/>
      <c r="J63" s="1042">
        <v>2000</v>
      </c>
      <c r="K63" s="1042"/>
      <c r="L63" s="1042"/>
      <c r="M63" s="1042"/>
      <c r="N63" s="1042"/>
      <c r="O63" s="1042"/>
      <c r="P63" s="1042"/>
      <c r="Q63" s="1042"/>
      <c r="R63" s="1038"/>
      <c r="S63" s="1039"/>
      <c r="T63" s="1032"/>
      <c r="U63" s="1032"/>
      <c r="V63" s="1032"/>
      <c r="W63" s="1032"/>
      <c r="X63" s="1032"/>
    </row>
    <row r="64" spans="1:24" ht="21" customHeight="1">
      <c r="A64" s="1033"/>
      <c r="B64" s="1034"/>
      <c r="C64" s="1035"/>
      <c r="D64" s="1057" t="s">
        <v>733</v>
      </c>
      <c r="E64" s="1036"/>
      <c r="F64" s="1036">
        <f t="shared" si="0"/>
        <v>2000</v>
      </c>
      <c r="G64" s="1042"/>
      <c r="H64" s="1042"/>
      <c r="I64" s="1042"/>
      <c r="J64" s="1042">
        <v>2000</v>
      </c>
      <c r="K64" s="1042"/>
      <c r="L64" s="1042"/>
      <c r="M64" s="1042"/>
      <c r="N64" s="1042"/>
      <c r="O64" s="1042"/>
      <c r="P64" s="1042"/>
      <c r="Q64" s="1042"/>
      <c r="R64" s="1038"/>
      <c r="S64" s="1039"/>
      <c r="T64" s="1032"/>
      <c r="U64" s="1032"/>
      <c r="V64" s="1032"/>
      <c r="W64" s="1032"/>
      <c r="X64" s="1032"/>
    </row>
    <row r="65" spans="1:24" ht="21" customHeight="1">
      <c r="A65" s="1033"/>
      <c r="B65" s="1034"/>
      <c r="C65" s="1035"/>
      <c r="D65" s="1057" t="s">
        <v>799</v>
      </c>
      <c r="E65" s="1036"/>
      <c r="F65" s="1036">
        <f t="shared" si="0"/>
        <v>4000</v>
      </c>
      <c r="G65" s="1042"/>
      <c r="H65" s="1042"/>
      <c r="I65" s="1042"/>
      <c r="J65" s="1042">
        <v>4000</v>
      </c>
      <c r="K65" s="1042"/>
      <c r="L65" s="1042"/>
      <c r="M65" s="1042"/>
      <c r="N65" s="1042"/>
      <c r="O65" s="1042"/>
      <c r="P65" s="1042"/>
      <c r="Q65" s="1042"/>
      <c r="R65" s="1038"/>
      <c r="S65" s="1039"/>
      <c r="T65" s="1032"/>
      <c r="U65" s="1032"/>
      <c r="V65" s="1032"/>
      <c r="W65" s="1032"/>
      <c r="X65" s="1032"/>
    </row>
    <row r="66" spans="1:24" ht="21" customHeight="1">
      <c r="A66" s="1033" t="s">
        <v>317</v>
      </c>
      <c r="B66" s="1034" t="s">
        <v>341</v>
      </c>
      <c r="C66" s="1035" t="s">
        <v>785</v>
      </c>
      <c r="D66" s="1041" t="s">
        <v>4</v>
      </c>
      <c r="E66" s="1036"/>
      <c r="F66" s="1036">
        <f t="shared" si="0"/>
        <v>4001</v>
      </c>
      <c r="G66" s="1042"/>
      <c r="H66" s="1042"/>
      <c r="I66" s="1042">
        <v>4001</v>
      </c>
      <c r="J66" s="1042"/>
      <c r="K66" s="1042"/>
      <c r="L66" s="1042"/>
      <c r="M66" s="1042"/>
      <c r="N66" s="1042"/>
      <c r="O66" s="1042"/>
      <c r="P66" s="1042"/>
      <c r="Q66" s="1042"/>
      <c r="R66" s="1038"/>
      <c r="S66" s="1039"/>
      <c r="T66" s="1032"/>
      <c r="U66" s="1032"/>
      <c r="V66" s="1032"/>
      <c r="W66" s="1032"/>
      <c r="X66" s="1032"/>
    </row>
    <row r="67" spans="1:24" ht="21" customHeight="1" hidden="1">
      <c r="A67" s="1033"/>
      <c r="B67" s="1034"/>
      <c r="C67" s="1035"/>
      <c r="D67" s="1057" t="s">
        <v>668</v>
      </c>
      <c r="E67" s="1036"/>
      <c r="F67" s="1036">
        <f t="shared" si="0"/>
        <v>4001</v>
      </c>
      <c r="G67" s="1042"/>
      <c r="H67" s="1042"/>
      <c r="I67" s="1042">
        <v>4001</v>
      </c>
      <c r="J67" s="1042"/>
      <c r="K67" s="1042"/>
      <c r="L67" s="1042"/>
      <c r="M67" s="1042"/>
      <c r="N67" s="1042"/>
      <c r="O67" s="1042"/>
      <c r="P67" s="1042"/>
      <c r="Q67" s="1042"/>
      <c r="R67" s="1038"/>
      <c r="S67" s="1039"/>
      <c r="T67" s="1032"/>
      <c r="U67" s="1032"/>
      <c r="V67" s="1032"/>
      <c r="W67" s="1032"/>
      <c r="X67" s="1032"/>
    </row>
    <row r="68" spans="1:24" ht="21" customHeight="1">
      <c r="A68" s="1033"/>
      <c r="B68" s="1034"/>
      <c r="C68" s="1035"/>
      <c r="D68" s="1057" t="s">
        <v>733</v>
      </c>
      <c r="E68" s="1036"/>
      <c r="F68" s="1036">
        <f t="shared" si="0"/>
        <v>4001</v>
      </c>
      <c r="G68" s="1042"/>
      <c r="H68" s="1042"/>
      <c r="I68" s="1042">
        <v>4001</v>
      </c>
      <c r="J68" s="1042"/>
      <c r="K68" s="1042"/>
      <c r="L68" s="1042"/>
      <c r="M68" s="1042"/>
      <c r="N68" s="1042"/>
      <c r="O68" s="1042"/>
      <c r="P68" s="1042"/>
      <c r="Q68" s="1042"/>
      <c r="R68" s="1038"/>
      <c r="S68" s="1039"/>
      <c r="T68" s="1032"/>
      <c r="U68" s="1032"/>
      <c r="V68" s="1032"/>
      <c r="W68" s="1032"/>
      <c r="X68" s="1032"/>
    </row>
    <row r="69" spans="1:24" ht="21" customHeight="1">
      <c r="A69" s="1033"/>
      <c r="B69" s="1034"/>
      <c r="C69" s="1035"/>
      <c r="D69" s="1057" t="s">
        <v>799</v>
      </c>
      <c r="E69" s="1036"/>
      <c r="F69" s="1036">
        <f t="shared" si="0"/>
        <v>4001</v>
      </c>
      <c r="G69" s="1042"/>
      <c r="H69" s="1042"/>
      <c r="I69" s="1042">
        <v>4001</v>
      </c>
      <c r="J69" s="1042"/>
      <c r="K69" s="1042"/>
      <c r="L69" s="1042"/>
      <c r="M69" s="1042"/>
      <c r="N69" s="1042"/>
      <c r="O69" s="1042"/>
      <c r="P69" s="1042"/>
      <c r="Q69" s="1042"/>
      <c r="R69" s="1038"/>
      <c r="S69" s="1039"/>
      <c r="T69" s="1032"/>
      <c r="U69" s="1032"/>
      <c r="V69" s="1032"/>
      <c r="W69" s="1032"/>
      <c r="X69" s="1032"/>
    </row>
    <row r="70" spans="1:24" ht="21" customHeight="1">
      <c r="A70" s="1033" t="s">
        <v>317</v>
      </c>
      <c r="B70" s="1034" t="s">
        <v>342</v>
      </c>
      <c r="C70" s="1035" t="s">
        <v>343</v>
      </c>
      <c r="D70" s="1041" t="s">
        <v>4</v>
      </c>
      <c r="E70" s="1036">
        <v>20500</v>
      </c>
      <c r="F70" s="1036">
        <f t="shared" si="0"/>
        <v>24134</v>
      </c>
      <c r="G70" s="1037">
        <v>19325</v>
      </c>
      <c r="H70" s="1037">
        <v>2609</v>
      </c>
      <c r="I70" s="1037">
        <v>2200</v>
      </c>
      <c r="J70" s="1037"/>
      <c r="K70" s="1037"/>
      <c r="L70" s="1037"/>
      <c r="M70" s="1037"/>
      <c r="N70" s="1037"/>
      <c r="O70" s="1037"/>
      <c r="P70" s="1037"/>
      <c r="Q70" s="1037"/>
      <c r="R70" s="1038"/>
      <c r="S70" s="1039"/>
      <c r="T70" s="1032"/>
      <c r="U70" s="1032"/>
      <c r="V70" s="1032"/>
      <c r="W70" s="1032"/>
      <c r="X70" s="1032"/>
    </row>
    <row r="71" spans="1:24" ht="21" customHeight="1" hidden="1">
      <c r="A71" s="1033"/>
      <c r="B71" s="1034"/>
      <c r="C71" s="1035"/>
      <c r="D71" s="1057" t="s">
        <v>668</v>
      </c>
      <c r="E71" s="1036">
        <v>20500</v>
      </c>
      <c r="F71" s="1036">
        <f t="shared" si="0"/>
        <v>24134</v>
      </c>
      <c r="G71" s="1037">
        <v>19325</v>
      </c>
      <c r="H71" s="1037">
        <v>2609</v>
      </c>
      <c r="I71" s="1037">
        <v>2200</v>
      </c>
      <c r="J71" s="1037"/>
      <c r="K71" s="1037"/>
      <c r="L71" s="1037"/>
      <c r="M71" s="1037"/>
      <c r="N71" s="1037"/>
      <c r="O71" s="1037"/>
      <c r="P71" s="1037"/>
      <c r="Q71" s="1037"/>
      <c r="R71" s="1038"/>
      <c r="S71" s="1039"/>
      <c r="T71" s="1032"/>
      <c r="U71" s="1032"/>
      <c r="V71" s="1032"/>
      <c r="W71" s="1032"/>
      <c r="X71" s="1032"/>
    </row>
    <row r="72" spans="1:24" ht="21" customHeight="1">
      <c r="A72" s="1033"/>
      <c r="B72" s="1034"/>
      <c r="C72" s="1035"/>
      <c r="D72" s="1057" t="s">
        <v>733</v>
      </c>
      <c r="E72" s="1036">
        <v>20500</v>
      </c>
      <c r="F72" s="1036">
        <f t="shared" si="0"/>
        <v>24134</v>
      </c>
      <c r="G72" s="1037">
        <v>19325</v>
      </c>
      <c r="H72" s="1037">
        <v>2609</v>
      </c>
      <c r="I72" s="1037">
        <v>2200</v>
      </c>
      <c r="J72" s="1037"/>
      <c r="K72" s="1037"/>
      <c r="L72" s="1037"/>
      <c r="M72" s="1037"/>
      <c r="N72" s="1037"/>
      <c r="O72" s="1037"/>
      <c r="P72" s="1037"/>
      <c r="Q72" s="1037"/>
      <c r="R72" s="1038"/>
      <c r="S72" s="1039"/>
      <c r="T72" s="1032"/>
      <c r="U72" s="1032"/>
      <c r="V72" s="1032"/>
      <c r="W72" s="1032"/>
      <c r="X72" s="1032"/>
    </row>
    <row r="73" spans="1:24" ht="21" customHeight="1">
      <c r="A73" s="1033"/>
      <c r="B73" s="1034"/>
      <c r="C73" s="1035"/>
      <c r="D73" s="1057" t="s">
        <v>799</v>
      </c>
      <c r="E73" s="1036">
        <v>19410</v>
      </c>
      <c r="F73" s="1036">
        <f t="shared" si="0"/>
        <v>20309</v>
      </c>
      <c r="G73" s="1037">
        <v>18099</v>
      </c>
      <c r="H73" s="1037">
        <v>2210</v>
      </c>
      <c r="I73" s="1037">
        <v>0</v>
      </c>
      <c r="J73" s="1037"/>
      <c r="K73" s="1037"/>
      <c r="L73" s="1037"/>
      <c r="M73" s="1037"/>
      <c r="N73" s="1037"/>
      <c r="O73" s="1037"/>
      <c r="P73" s="1037"/>
      <c r="Q73" s="1037"/>
      <c r="R73" s="1038"/>
      <c r="S73" s="1039"/>
      <c r="T73" s="1032"/>
      <c r="U73" s="1032"/>
      <c r="V73" s="1032"/>
      <c r="W73" s="1032"/>
      <c r="X73" s="1032"/>
    </row>
    <row r="74" spans="1:24" ht="21" customHeight="1">
      <c r="A74" s="1033" t="s">
        <v>317</v>
      </c>
      <c r="B74" s="1034" t="s">
        <v>344</v>
      </c>
      <c r="C74" s="1035" t="s">
        <v>345</v>
      </c>
      <c r="D74" s="1041" t="s">
        <v>4</v>
      </c>
      <c r="E74" s="1036">
        <v>103000</v>
      </c>
      <c r="F74" s="1036">
        <f t="shared" si="0"/>
        <v>137252</v>
      </c>
      <c r="G74" s="1037">
        <v>115200</v>
      </c>
      <c r="H74" s="1037">
        <v>15552</v>
      </c>
      <c r="I74" s="1037">
        <v>6500</v>
      </c>
      <c r="J74" s="1037"/>
      <c r="K74" s="1037"/>
      <c r="L74" s="1037"/>
      <c r="M74" s="1037"/>
      <c r="N74" s="1037"/>
      <c r="O74" s="1037"/>
      <c r="P74" s="1037"/>
      <c r="Q74" s="1037"/>
      <c r="R74" s="1038"/>
      <c r="S74" s="1039"/>
      <c r="T74" s="1032"/>
      <c r="U74" s="1032"/>
      <c r="V74" s="1032"/>
      <c r="W74" s="1032"/>
      <c r="X74" s="1032"/>
    </row>
    <row r="75" spans="1:24" ht="21" customHeight="1" hidden="1">
      <c r="A75" s="1033"/>
      <c r="B75" s="1034"/>
      <c r="C75" s="1035"/>
      <c r="D75" s="1057" t="s">
        <v>668</v>
      </c>
      <c r="E75" s="1036">
        <v>103000</v>
      </c>
      <c r="F75" s="1036">
        <f t="shared" si="0"/>
        <v>137252</v>
      </c>
      <c r="G75" s="1037">
        <v>115200</v>
      </c>
      <c r="H75" s="1037">
        <v>15552</v>
      </c>
      <c r="I75" s="1037">
        <v>6500</v>
      </c>
      <c r="J75" s="1037"/>
      <c r="K75" s="1037"/>
      <c r="L75" s="1037"/>
      <c r="M75" s="1037"/>
      <c r="N75" s="1037"/>
      <c r="O75" s="1037"/>
      <c r="P75" s="1037"/>
      <c r="Q75" s="1037"/>
      <c r="R75" s="1038"/>
      <c r="S75" s="1039"/>
      <c r="T75" s="1032"/>
      <c r="U75" s="1032"/>
      <c r="V75" s="1032"/>
      <c r="W75" s="1032"/>
      <c r="X75" s="1032"/>
    </row>
    <row r="76" spans="1:24" ht="21" customHeight="1">
      <c r="A76" s="1033"/>
      <c r="B76" s="1034"/>
      <c r="C76" s="1035"/>
      <c r="D76" s="1057" t="s">
        <v>733</v>
      </c>
      <c r="E76" s="1036">
        <v>101380</v>
      </c>
      <c r="F76" s="1036">
        <f t="shared" si="0"/>
        <v>135632</v>
      </c>
      <c r="G76" s="1037">
        <v>106075</v>
      </c>
      <c r="H76" s="1037">
        <v>13087</v>
      </c>
      <c r="I76" s="1037">
        <v>4143</v>
      </c>
      <c r="J76" s="1037"/>
      <c r="K76" s="1037"/>
      <c r="L76" s="1037"/>
      <c r="M76" s="1037"/>
      <c r="N76" s="1037">
        <v>12327</v>
      </c>
      <c r="O76" s="1037"/>
      <c r="P76" s="1037"/>
      <c r="Q76" s="1037"/>
      <c r="R76" s="1038"/>
      <c r="S76" s="1039"/>
      <c r="T76" s="1032"/>
      <c r="U76" s="1032"/>
      <c r="V76" s="1032"/>
      <c r="W76" s="1032"/>
      <c r="X76" s="1032"/>
    </row>
    <row r="77" spans="1:24" ht="21" customHeight="1">
      <c r="A77" s="1033"/>
      <c r="B77" s="1034"/>
      <c r="C77" s="1035"/>
      <c r="D77" s="1057" t="s">
        <v>799</v>
      </c>
      <c r="E77" s="1036">
        <v>101380</v>
      </c>
      <c r="F77" s="1036">
        <f t="shared" si="0"/>
        <v>137900</v>
      </c>
      <c r="G77" s="1037">
        <v>106075</v>
      </c>
      <c r="H77" s="1037">
        <v>13087</v>
      </c>
      <c r="I77" s="1037">
        <v>4143</v>
      </c>
      <c r="J77" s="1037"/>
      <c r="K77" s="1037"/>
      <c r="L77" s="1037"/>
      <c r="M77" s="1037"/>
      <c r="N77" s="1037">
        <v>14595</v>
      </c>
      <c r="O77" s="1037"/>
      <c r="P77" s="1037"/>
      <c r="Q77" s="1037"/>
      <c r="R77" s="1038"/>
      <c r="S77" s="1039"/>
      <c r="T77" s="1032"/>
      <c r="U77" s="1032"/>
      <c r="V77" s="1032"/>
      <c r="W77" s="1032"/>
      <c r="X77" s="1032"/>
    </row>
    <row r="78" spans="1:24" ht="21" customHeight="1">
      <c r="A78" s="1033" t="s">
        <v>317</v>
      </c>
      <c r="B78" s="1034" t="s">
        <v>346</v>
      </c>
      <c r="C78" s="1035" t="s">
        <v>347</v>
      </c>
      <c r="D78" s="1041" t="s">
        <v>4</v>
      </c>
      <c r="E78" s="1036"/>
      <c r="F78" s="1036">
        <f t="shared" si="0"/>
        <v>0</v>
      </c>
      <c r="G78" s="1037"/>
      <c r="H78" s="1037"/>
      <c r="I78" s="1037"/>
      <c r="J78" s="1037"/>
      <c r="K78" s="1037"/>
      <c r="L78" s="1037"/>
      <c r="M78" s="1037"/>
      <c r="N78" s="1037"/>
      <c r="O78" s="1037"/>
      <c r="P78" s="1037"/>
      <c r="Q78" s="1037"/>
      <c r="R78" s="1038"/>
      <c r="S78" s="1039"/>
      <c r="T78" s="1032"/>
      <c r="U78" s="1032"/>
      <c r="V78" s="1032"/>
      <c r="W78" s="1032"/>
      <c r="X78" s="1032"/>
    </row>
    <row r="79" spans="1:24" ht="21" customHeight="1" hidden="1">
      <c r="A79" s="1033"/>
      <c r="B79" s="1034"/>
      <c r="C79" s="1035"/>
      <c r="D79" s="1057" t="s">
        <v>668</v>
      </c>
      <c r="E79" s="1036"/>
      <c r="F79" s="1036">
        <f t="shared" si="0"/>
        <v>0</v>
      </c>
      <c r="G79" s="1037"/>
      <c r="H79" s="1037"/>
      <c r="I79" s="1037"/>
      <c r="J79" s="1037"/>
      <c r="K79" s="1037"/>
      <c r="L79" s="1037"/>
      <c r="M79" s="1037"/>
      <c r="N79" s="1037"/>
      <c r="O79" s="1037"/>
      <c r="P79" s="1037"/>
      <c r="Q79" s="1037"/>
      <c r="R79" s="1038"/>
      <c r="S79" s="1039"/>
      <c r="T79" s="1032"/>
      <c r="U79" s="1032"/>
      <c r="V79" s="1032"/>
      <c r="W79" s="1032"/>
      <c r="X79" s="1032"/>
    </row>
    <row r="80" spans="1:24" ht="21" customHeight="1">
      <c r="A80" s="1033"/>
      <c r="B80" s="1034"/>
      <c r="C80" s="1035"/>
      <c r="D80" s="1057" t="s">
        <v>733</v>
      </c>
      <c r="E80" s="1036"/>
      <c r="F80" s="1036">
        <f t="shared" si="0"/>
        <v>0</v>
      </c>
      <c r="G80" s="1037"/>
      <c r="H80" s="1037"/>
      <c r="I80" s="1037"/>
      <c r="J80" s="1037"/>
      <c r="K80" s="1037"/>
      <c r="L80" s="1037"/>
      <c r="M80" s="1037"/>
      <c r="N80" s="1037"/>
      <c r="O80" s="1037"/>
      <c r="P80" s="1037"/>
      <c r="Q80" s="1037"/>
      <c r="R80" s="1038"/>
      <c r="S80" s="1039"/>
      <c r="T80" s="1032"/>
      <c r="U80" s="1032"/>
      <c r="V80" s="1032"/>
      <c r="W80" s="1032"/>
      <c r="X80" s="1032"/>
    </row>
    <row r="81" spans="1:24" ht="21" customHeight="1">
      <c r="A81" s="1033"/>
      <c r="B81" s="1034"/>
      <c r="C81" s="1035"/>
      <c r="D81" s="1057" t="s">
        <v>799</v>
      </c>
      <c r="E81" s="1036"/>
      <c r="F81" s="1036">
        <v>0</v>
      </c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8"/>
      <c r="S81" s="1039"/>
      <c r="T81" s="1032"/>
      <c r="U81" s="1032"/>
      <c r="V81" s="1032"/>
      <c r="W81" s="1032"/>
      <c r="X81" s="1032"/>
    </row>
    <row r="82" spans="1:19" ht="21" customHeight="1">
      <c r="A82" s="1033" t="s">
        <v>317</v>
      </c>
      <c r="B82" s="1034" t="s">
        <v>348</v>
      </c>
      <c r="C82" s="1035" t="s">
        <v>349</v>
      </c>
      <c r="D82" s="1041" t="s">
        <v>4</v>
      </c>
      <c r="E82" s="1036">
        <v>3556</v>
      </c>
      <c r="F82" s="1036">
        <f t="shared" si="0"/>
        <v>15031</v>
      </c>
      <c r="G82" s="1037"/>
      <c r="H82" s="1037"/>
      <c r="I82" s="1037">
        <v>15031</v>
      </c>
      <c r="J82" s="1037"/>
      <c r="K82" s="1037"/>
      <c r="L82" s="1037"/>
      <c r="M82" s="1037"/>
      <c r="N82" s="1037"/>
      <c r="O82" s="1037"/>
      <c r="P82" s="1037"/>
      <c r="Q82" s="1037"/>
      <c r="R82" s="1038"/>
      <c r="S82" s="1039"/>
    </row>
    <row r="83" spans="1:19" ht="21" customHeight="1" hidden="1">
      <c r="A83" s="1033"/>
      <c r="B83" s="1034"/>
      <c r="C83" s="1035"/>
      <c r="D83" s="1057" t="s">
        <v>668</v>
      </c>
      <c r="E83" s="1036">
        <v>3556</v>
      </c>
      <c r="F83" s="1036">
        <f t="shared" si="0"/>
        <v>15031</v>
      </c>
      <c r="G83" s="1037"/>
      <c r="H83" s="1037"/>
      <c r="I83" s="1037">
        <v>15031</v>
      </c>
      <c r="J83" s="1037"/>
      <c r="K83" s="1037"/>
      <c r="L83" s="1037"/>
      <c r="M83" s="1037"/>
      <c r="N83" s="1037"/>
      <c r="O83" s="1037"/>
      <c r="P83" s="1037"/>
      <c r="Q83" s="1037"/>
      <c r="R83" s="1038"/>
      <c r="S83" s="1039"/>
    </row>
    <row r="84" spans="1:19" ht="21" customHeight="1">
      <c r="A84" s="1033"/>
      <c r="B84" s="1034"/>
      <c r="C84" s="1035"/>
      <c r="D84" s="1057" t="s">
        <v>733</v>
      </c>
      <c r="E84" s="1036">
        <f>E83-991</f>
        <v>2565</v>
      </c>
      <c r="F84" s="1036">
        <f t="shared" si="0"/>
        <v>13495</v>
      </c>
      <c r="G84" s="1037"/>
      <c r="H84" s="1037"/>
      <c r="I84" s="1037">
        <f>I83-1536</f>
        <v>13495</v>
      </c>
      <c r="J84" s="1037"/>
      <c r="K84" s="1037"/>
      <c r="L84" s="1037"/>
      <c r="M84" s="1037"/>
      <c r="N84" s="1037"/>
      <c r="O84" s="1037"/>
      <c r="P84" s="1037"/>
      <c r="Q84" s="1037"/>
      <c r="R84" s="1038"/>
      <c r="S84" s="1039"/>
    </row>
    <row r="85" spans="1:19" ht="21" customHeight="1">
      <c r="A85" s="1033"/>
      <c r="B85" s="1034"/>
      <c r="C85" s="1035"/>
      <c r="D85" s="1057" t="s">
        <v>799</v>
      </c>
      <c r="E85" s="1036">
        <v>2565</v>
      </c>
      <c r="F85" s="1036">
        <f t="shared" si="0"/>
        <v>13284</v>
      </c>
      <c r="G85" s="1037"/>
      <c r="H85" s="1037"/>
      <c r="I85" s="1037">
        <v>13284</v>
      </c>
      <c r="J85" s="1037"/>
      <c r="K85" s="1037"/>
      <c r="L85" s="1037"/>
      <c r="M85" s="1037"/>
      <c r="N85" s="1037"/>
      <c r="O85" s="1037"/>
      <c r="P85" s="1037"/>
      <c r="Q85" s="1037"/>
      <c r="R85" s="1038"/>
      <c r="S85" s="1039"/>
    </row>
    <row r="86" spans="1:19" ht="21" customHeight="1">
      <c r="A86" s="1033" t="s">
        <v>317</v>
      </c>
      <c r="B86" s="1034" t="s">
        <v>350</v>
      </c>
      <c r="C86" s="1035" t="s">
        <v>351</v>
      </c>
      <c r="D86" s="1041" t="s">
        <v>4</v>
      </c>
      <c r="E86" s="1036">
        <v>15000</v>
      </c>
      <c r="F86" s="1036">
        <f t="shared" si="0"/>
        <v>183070</v>
      </c>
      <c r="G86" s="1037"/>
      <c r="H86" s="1037"/>
      <c r="I86" s="1037">
        <v>8661</v>
      </c>
      <c r="J86" s="1037"/>
      <c r="K86" s="1037"/>
      <c r="L86" s="1037"/>
      <c r="M86" s="1037">
        <v>70160</v>
      </c>
      <c r="N86" s="1037">
        <v>89787</v>
      </c>
      <c r="O86" s="1037">
        <v>14462</v>
      </c>
      <c r="P86" s="1037"/>
      <c r="Q86" s="1037"/>
      <c r="R86" s="1038"/>
      <c r="S86" s="1039"/>
    </row>
    <row r="87" spans="1:19" ht="21" customHeight="1" hidden="1">
      <c r="A87" s="1033"/>
      <c r="B87" s="1034"/>
      <c r="C87" s="1035"/>
      <c r="D87" s="1057" t="s">
        <v>668</v>
      </c>
      <c r="E87" s="1036">
        <v>15000</v>
      </c>
      <c r="F87" s="1036">
        <f t="shared" si="0"/>
        <v>183070</v>
      </c>
      <c r="G87" s="1037"/>
      <c r="H87" s="1037"/>
      <c r="I87" s="1037">
        <v>10872</v>
      </c>
      <c r="J87" s="1037"/>
      <c r="K87" s="1037"/>
      <c r="L87" s="1037"/>
      <c r="M87" s="1037">
        <v>70160</v>
      </c>
      <c r="N87" s="1037">
        <v>87576</v>
      </c>
      <c r="O87" s="1037">
        <v>14462</v>
      </c>
      <c r="P87" s="1037"/>
      <c r="Q87" s="1037"/>
      <c r="R87" s="1038"/>
      <c r="S87" s="1039"/>
    </row>
    <row r="88" spans="1:19" ht="21" customHeight="1">
      <c r="A88" s="1033"/>
      <c r="B88" s="1034"/>
      <c r="C88" s="1035"/>
      <c r="D88" s="1057" t="s">
        <v>733</v>
      </c>
      <c r="E88" s="1036">
        <v>51875</v>
      </c>
      <c r="F88" s="1036">
        <f t="shared" si="0"/>
        <v>185850</v>
      </c>
      <c r="G88" s="1037"/>
      <c r="H88" s="1037"/>
      <c r="I88" s="1037">
        <f>I87-3200</f>
        <v>7672</v>
      </c>
      <c r="J88" s="1037"/>
      <c r="K88" s="1037"/>
      <c r="L88" s="1037"/>
      <c r="M88" s="1037">
        <v>70160</v>
      </c>
      <c r="N88" s="1037">
        <f>N87+5980</f>
        <v>93556</v>
      </c>
      <c r="O88" s="1037">
        <v>14462</v>
      </c>
      <c r="P88" s="1037"/>
      <c r="Q88" s="1037"/>
      <c r="R88" s="1038"/>
      <c r="S88" s="1039"/>
    </row>
    <row r="89" spans="1:19" ht="21" customHeight="1">
      <c r="A89" s="1033"/>
      <c r="B89" s="1034"/>
      <c r="C89" s="1035"/>
      <c r="D89" s="1057" t="s">
        <v>799</v>
      </c>
      <c r="E89" s="1036">
        <v>51875</v>
      </c>
      <c r="F89" s="1036">
        <f t="shared" si="0"/>
        <v>168176</v>
      </c>
      <c r="G89" s="1037"/>
      <c r="H89" s="1037"/>
      <c r="I89" s="1037">
        <v>7672</v>
      </c>
      <c r="J89" s="1037"/>
      <c r="K89" s="1037"/>
      <c r="L89" s="1037"/>
      <c r="M89" s="1037">
        <v>59560</v>
      </c>
      <c r="N89" s="1037">
        <v>86482</v>
      </c>
      <c r="O89" s="1037">
        <v>14462</v>
      </c>
      <c r="P89" s="1037"/>
      <c r="Q89" s="1037"/>
      <c r="R89" s="1038"/>
      <c r="S89" s="1039"/>
    </row>
    <row r="90" spans="1:19" ht="21" customHeight="1">
      <c r="A90" s="1033" t="s">
        <v>317</v>
      </c>
      <c r="B90" s="1034" t="s">
        <v>352</v>
      </c>
      <c r="C90" s="1035" t="s">
        <v>353</v>
      </c>
      <c r="D90" s="1041" t="s">
        <v>4</v>
      </c>
      <c r="E90" s="1036"/>
      <c r="F90" s="1036">
        <f t="shared" si="0"/>
        <v>0</v>
      </c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8"/>
      <c r="S90" s="1039"/>
    </row>
    <row r="91" spans="1:19" ht="21" customHeight="1" hidden="1">
      <c r="A91" s="1033"/>
      <c r="B91" s="1034"/>
      <c r="C91" s="1035"/>
      <c r="D91" s="1057" t="s">
        <v>668</v>
      </c>
      <c r="E91" s="1036"/>
      <c r="F91" s="1036">
        <f aca="true" t="shared" si="1" ref="F91:F175">SUM(G91:R91)</f>
        <v>0</v>
      </c>
      <c r="G91" s="1037"/>
      <c r="H91" s="1037"/>
      <c r="I91" s="1037"/>
      <c r="J91" s="1037"/>
      <c r="K91" s="1037"/>
      <c r="L91" s="1037"/>
      <c r="M91" s="1037"/>
      <c r="N91" s="1037"/>
      <c r="O91" s="1037"/>
      <c r="P91" s="1037"/>
      <c r="Q91" s="1037"/>
      <c r="R91" s="1038"/>
      <c r="S91" s="1039"/>
    </row>
    <row r="92" spans="1:19" ht="21" customHeight="1">
      <c r="A92" s="1033"/>
      <c r="B92" s="1034"/>
      <c r="C92" s="1035"/>
      <c r="D92" s="1057" t="s">
        <v>733</v>
      </c>
      <c r="E92" s="1036"/>
      <c r="F92" s="1036">
        <f t="shared" si="1"/>
        <v>0</v>
      </c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8"/>
      <c r="S92" s="1039"/>
    </row>
    <row r="93" spans="1:19" ht="21" customHeight="1">
      <c r="A93" s="1033"/>
      <c r="B93" s="1034"/>
      <c r="C93" s="1035"/>
      <c r="D93" s="1057" t="s">
        <v>799</v>
      </c>
      <c r="E93" s="1036"/>
      <c r="F93" s="1036">
        <v>0</v>
      </c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8"/>
      <c r="S93" s="1039"/>
    </row>
    <row r="94" spans="1:24" ht="21" customHeight="1">
      <c r="A94" s="1033" t="s">
        <v>317</v>
      </c>
      <c r="B94" s="1034" t="s">
        <v>354</v>
      </c>
      <c r="C94" s="1035" t="s">
        <v>355</v>
      </c>
      <c r="D94" s="1041" t="s">
        <v>4</v>
      </c>
      <c r="E94" s="1036"/>
      <c r="F94" s="1036">
        <f t="shared" si="1"/>
        <v>78548</v>
      </c>
      <c r="G94" s="1037"/>
      <c r="H94" s="1037"/>
      <c r="I94" s="1037">
        <v>78548</v>
      </c>
      <c r="J94" s="1037"/>
      <c r="K94" s="1036"/>
      <c r="L94" s="1036"/>
      <c r="M94" s="1036"/>
      <c r="N94" s="1037"/>
      <c r="O94" s="1037"/>
      <c r="P94" s="1037"/>
      <c r="Q94" s="1037"/>
      <c r="R94" s="1038"/>
      <c r="S94" s="1039"/>
      <c r="T94" s="1032"/>
      <c r="U94" s="1032"/>
      <c r="V94" s="1032"/>
      <c r="W94" s="1032"/>
      <c r="X94" s="1032"/>
    </row>
    <row r="95" spans="1:24" ht="21" customHeight="1" hidden="1">
      <c r="A95" s="1033"/>
      <c r="B95" s="1034"/>
      <c r="C95" s="1035"/>
      <c r="D95" s="1057" t="s">
        <v>668</v>
      </c>
      <c r="E95" s="1036"/>
      <c r="F95" s="1036">
        <f t="shared" si="1"/>
        <v>78548</v>
      </c>
      <c r="G95" s="1037"/>
      <c r="H95" s="1037"/>
      <c r="I95" s="1037">
        <v>39178</v>
      </c>
      <c r="J95" s="1037">
        <v>39370</v>
      </c>
      <c r="K95" s="1036"/>
      <c r="L95" s="1036"/>
      <c r="M95" s="1036"/>
      <c r="N95" s="1037"/>
      <c r="O95" s="1037"/>
      <c r="P95" s="1037"/>
      <c r="Q95" s="1037"/>
      <c r="R95" s="1038"/>
      <c r="S95" s="1039"/>
      <c r="T95" s="1032"/>
      <c r="U95" s="1032"/>
      <c r="V95" s="1032"/>
      <c r="W95" s="1032"/>
      <c r="X95" s="1032"/>
    </row>
    <row r="96" spans="1:24" ht="21" customHeight="1">
      <c r="A96" s="1033"/>
      <c r="B96" s="1034"/>
      <c r="C96" s="1035"/>
      <c r="D96" s="1057" t="s">
        <v>733</v>
      </c>
      <c r="E96" s="1036"/>
      <c r="F96" s="1036">
        <f t="shared" si="1"/>
        <v>78548</v>
      </c>
      <c r="G96" s="1037"/>
      <c r="H96" s="1037"/>
      <c r="I96" s="1037">
        <v>39178</v>
      </c>
      <c r="J96" s="1037">
        <v>39370</v>
      </c>
      <c r="K96" s="1036"/>
      <c r="L96" s="1036"/>
      <c r="M96" s="1036"/>
      <c r="N96" s="1037"/>
      <c r="O96" s="1037"/>
      <c r="P96" s="1037"/>
      <c r="Q96" s="1037"/>
      <c r="R96" s="1038"/>
      <c r="S96" s="1039"/>
      <c r="T96" s="1032"/>
      <c r="U96" s="1032"/>
      <c r="V96" s="1032"/>
      <c r="W96" s="1032"/>
      <c r="X96" s="1032"/>
    </row>
    <row r="97" spans="1:24" ht="21" customHeight="1">
      <c r="A97" s="1033"/>
      <c r="B97" s="1034"/>
      <c r="C97" s="1035"/>
      <c r="D97" s="1057" t="s">
        <v>799</v>
      </c>
      <c r="E97" s="1036"/>
      <c r="F97" s="1036">
        <f t="shared" si="1"/>
        <v>78548</v>
      </c>
      <c r="G97" s="1037"/>
      <c r="H97" s="1037"/>
      <c r="I97" s="1037">
        <v>39178</v>
      </c>
      <c r="J97" s="1037">
        <v>39370</v>
      </c>
      <c r="K97" s="1036"/>
      <c r="L97" s="1036"/>
      <c r="M97" s="1036"/>
      <c r="N97" s="1037"/>
      <c r="O97" s="1037"/>
      <c r="P97" s="1037"/>
      <c r="Q97" s="1037"/>
      <c r="R97" s="1038"/>
      <c r="S97" s="1039"/>
      <c r="T97" s="1032"/>
      <c r="U97" s="1032"/>
      <c r="V97" s="1032"/>
      <c r="W97" s="1032"/>
      <c r="X97" s="1032"/>
    </row>
    <row r="98" spans="1:24" ht="21" customHeight="1">
      <c r="A98" s="1033" t="s">
        <v>320</v>
      </c>
      <c r="B98" s="1034" t="s">
        <v>356</v>
      </c>
      <c r="C98" s="1035" t="s">
        <v>357</v>
      </c>
      <c r="D98" s="1041" t="s">
        <v>4</v>
      </c>
      <c r="E98" s="1036"/>
      <c r="F98" s="1036">
        <f t="shared" si="1"/>
        <v>50966</v>
      </c>
      <c r="G98" s="1037"/>
      <c r="H98" s="1037"/>
      <c r="I98" s="1037"/>
      <c r="J98" s="1037">
        <v>50966</v>
      </c>
      <c r="K98" s="1037"/>
      <c r="L98" s="1037"/>
      <c r="M98" s="1037"/>
      <c r="N98" s="1037"/>
      <c r="O98" s="1037"/>
      <c r="P98" s="1037"/>
      <c r="Q98" s="1037"/>
      <c r="R98" s="1038"/>
      <c r="S98" s="1039"/>
      <c r="T98" s="1032"/>
      <c r="U98" s="1032"/>
      <c r="V98" s="1032"/>
      <c r="W98" s="1032"/>
      <c r="X98" s="1032"/>
    </row>
    <row r="99" spans="1:24" ht="21" customHeight="1" hidden="1">
      <c r="A99" s="1033"/>
      <c r="B99" s="1034"/>
      <c r="C99" s="1035"/>
      <c r="D99" s="1057" t="s">
        <v>668</v>
      </c>
      <c r="E99" s="1036"/>
      <c r="F99" s="1036">
        <f t="shared" si="1"/>
        <v>50966</v>
      </c>
      <c r="G99" s="1037"/>
      <c r="H99" s="1037"/>
      <c r="I99" s="1037"/>
      <c r="J99" s="1037">
        <v>50966</v>
      </c>
      <c r="K99" s="1037"/>
      <c r="L99" s="1037"/>
      <c r="M99" s="1037"/>
      <c r="N99" s="1037"/>
      <c r="O99" s="1037"/>
      <c r="P99" s="1037"/>
      <c r="Q99" s="1037"/>
      <c r="R99" s="1038"/>
      <c r="S99" s="1039"/>
      <c r="T99" s="1032"/>
      <c r="U99" s="1032"/>
      <c r="V99" s="1032"/>
      <c r="W99" s="1032"/>
      <c r="X99" s="1032"/>
    </row>
    <row r="100" spans="1:24" ht="21" customHeight="1">
      <c r="A100" s="1033"/>
      <c r="B100" s="1034"/>
      <c r="C100" s="1035"/>
      <c r="D100" s="1057" t="s">
        <v>733</v>
      </c>
      <c r="E100" s="1036"/>
      <c r="F100" s="1036">
        <f t="shared" si="1"/>
        <v>50966</v>
      </c>
      <c r="G100" s="1037"/>
      <c r="H100" s="1037"/>
      <c r="I100" s="1037"/>
      <c r="J100" s="1037">
        <v>50966</v>
      </c>
      <c r="K100" s="1037"/>
      <c r="L100" s="1037"/>
      <c r="M100" s="1037"/>
      <c r="N100" s="1037"/>
      <c r="O100" s="1037"/>
      <c r="P100" s="1037"/>
      <c r="Q100" s="1037"/>
      <c r="R100" s="1038"/>
      <c r="S100" s="1039"/>
      <c r="T100" s="1032"/>
      <c r="U100" s="1032"/>
      <c r="V100" s="1032"/>
      <c r="W100" s="1032"/>
      <c r="X100" s="1032"/>
    </row>
    <row r="101" spans="1:24" ht="21" customHeight="1">
      <c r="A101" s="1033"/>
      <c r="B101" s="1034"/>
      <c r="C101" s="1035"/>
      <c r="D101" s="1057" t="s">
        <v>799</v>
      </c>
      <c r="E101" s="1036"/>
      <c r="F101" s="1036">
        <f t="shared" si="1"/>
        <v>56182</v>
      </c>
      <c r="G101" s="1037"/>
      <c r="H101" s="1037"/>
      <c r="I101" s="1037"/>
      <c r="J101" s="1037">
        <v>56182</v>
      </c>
      <c r="K101" s="1037"/>
      <c r="L101" s="1037"/>
      <c r="M101" s="1037"/>
      <c r="N101" s="1037"/>
      <c r="O101" s="1037"/>
      <c r="P101" s="1037"/>
      <c r="Q101" s="1037"/>
      <c r="R101" s="1038"/>
      <c r="S101" s="1039"/>
      <c r="T101" s="1032"/>
      <c r="U101" s="1032"/>
      <c r="V101" s="1032"/>
      <c r="W101" s="1032"/>
      <c r="X101" s="1032"/>
    </row>
    <row r="102" spans="1:19" ht="23.25" customHeight="1">
      <c r="A102" s="1033" t="s">
        <v>317</v>
      </c>
      <c r="B102" s="1034" t="s">
        <v>358</v>
      </c>
      <c r="C102" s="1043" t="s">
        <v>359</v>
      </c>
      <c r="D102" s="1041" t="s">
        <v>4</v>
      </c>
      <c r="E102" s="1036"/>
      <c r="F102" s="1036">
        <f t="shared" si="1"/>
        <v>42955</v>
      </c>
      <c r="G102" s="1037"/>
      <c r="H102" s="1037"/>
      <c r="I102" s="1037">
        <v>42955</v>
      </c>
      <c r="J102" s="1037"/>
      <c r="K102" s="1037"/>
      <c r="L102" s="1037"/>
      <c r="M102" s="1037"/>
      <c r="N102" s="1037"/>
      <c r="O102" s="1037"/>
      <c r="P102" s="1037"/>
      <c r="Q102" s="1037"/>
      <c r="R102" s="1038"/>
      <c r="S102" s="1039"/>
    </row>
    <row r="103" spans="1:19" ht="21" customHeight="1" hidden="1">
      <c r="A103" s="1033"/>
      <c r="B103" s="1034"/>
      <c r="C103" s="1043"/>
      <c r="D103" s="1057" t="s">
        <v>668</v>
      </c>
      <c r="E103" s="1036"/>
      <c r="F103" s="1036">
        <f t="shared" si="1"/>
        <v>42955</v>
      </c>
      <c r="G103" s="1037"/>
      <c r="H103" s="1037"/>
      <c r="I103" s="1037">
        <v>918</v>
      </c>
      <c r="J103" s="1037">
        <v>42037</v>
      </c>
      <c r="K103" s="1037"/>
      <c r="L103" s="1037"/>
      <c r="M103" s="1037"/>
      <c r="N103" s="1037"/>
      <c r="O103" s="1037"/>
      <c r="P103" s="1037"/>
      <c r="Q103" s="1037"/>
      <c r="R103" s="1038"/>
      <c r="S103" s="1039"/>
    </row>
    <row r="104" spans="1:19" ht="21" customHeight="1">
      <c r="A104" s="1033"/>
      <c r="B104" s="1034"/>
      <c r="C104" s="1043"/>
      <c r="D104" s="1057" t="s">
        <v>733</v>
      </c>
      <c r="E104" s="1036"/>
      <c r="F104" s="1036">
        <f t="shared" si="1"/>
        <v>42955</v>
      </c>
      <c r="G104" s="1037"/>
      <c r="H104" s="1037"/>
      <c r="I104" s="1037">
        <v>918</v>
      </c>
      <c r="J104" s="1037">
        <v>42037</v>
      </c>
      <c r="K104" s="1037"/>
      <c r="L104" s="1037"/>
      <c r="M104" s="1037"/>
      <c r="N104" s="1037"/>
      <c r="O104" s="1037"/>
      <c r="P104" s="1037"/>
      <c r="Q104" s="1037"/>
      <c r="R104" s="1038"/>
      <c r="S104" s="1039"/>
    </row>
    <row r="105" spans="1:19" ht="21" customHeight="1">
      <c r="A105" s="1033"/>
      <c r="B105" s="1034"/>
      <c r="C105" s="1043"/>
      <c r="D105" s="1057" t="s">
        <v>799</v>
      </c>
      <c r="E105" s="1036"/>
      <c r="F105" s="1036">
        <f t="shared" si="1"/>
        <v>42955</v>
      </c>
      <c r="G105" s="1037"/>
      <c r="H105" s="1037"/>
      <c r="I105" s="1037">
        <v>918</v>
      </c>
      <c r="J105" s="1037">
        <v>42037</v>
      </c>
      <c r="K105" s="1037"/>
      <c r="L105" s="1037"/>
      <c r="M105" s="1037"/>
      <c r="N105" s="1037"/>
      <c r="O105" s="1037"/>
      <c r="P105" s="1037"/>
      <c r="Q105" s="1037"/>
      <c r="R105" s="1038"/>
      <c r="S105" s="1039"/>
    </row>
    <row r="106" spans="1:19" ht="21" customHeight="1">
      <c r="A106" s="1033" t="s">
        <v>317</v>
      </c>
      <c r="B106" s="1034" t="s">
        <v>230</v>
      </c>
      <c r="C106" s="1035" t="s">
        <v>360</v>
      </c>
      <c r="D106" s="1041" t="s">
        <v>4</v>
      </c>
      <c r="E106" s="1036">
        <v>44220</v>
      </c>
      <c r="F106" s="1036">
        <f t="shared" si="1"/>
        <v>50867</v>
      </c>
      <c r="G106" s="1037"/>
      <c r="H106" s="1037"/>
      <c r="I106" s="1037">
        <v>20247</v>
      </c>
      <c r="J106" s="1037"/>
      <c r="K106" s="1037"/>
      <c r="L106" s="1037"/>
      <c r="M106" s="1037">
        <v>30620</v>
      </c>
      <c r="N106" s="1037"/>
      <c r="O106" s="1037"/>
      <c r="P106" s="1037"/>
      <c r="Q106" s="1037"/>
      <c r="R106" s="1038"/>
      <c r="S106" s="1039"/>
    </row>
    <row r="107" spans="1:19" ht="21" customHeight="1" hidden="1">
      <c r="A107" s="1033"/>
      <c r="B107" s="1034"/>
      <c r="C107" s="1035"/>
      <c r="D107" s="1057" t="s">
        <v>668</v>
      </c>
      <c r="E107" s="1036">
        <v>44221</v>
      </c>
      <c r="F107" s="1036">
        <f t="shared" si="1"/>
        <v>50868</v>
      </c>
      <c r="G107" s="1037"/>
      <c r="H107" s="1037"/>
      <c r="I107" s="1037">
        <v>11041</v>
      </c>
      <c r="J107" s="1037">
        <v>8000</v>
      </c>
      <c r="K107" s="1037"/>
      <c r="L107" s="1037"/>
      <c r="M107" s="1037">
        <v>31826</v>
      </c>
      <c r="N107" s="1037"/>
      <c r="O107" s="1037">
        <v>1</v>
      </c>
      <c r="P107" s="1037"/>
      <c r="Q107" s="1037"/>
      <c r="R107" s="1038"/>
      <c r="S107" s="1039"/>
    </row>
    <row r="108" spans="1:19" ht="21" customHeight="1">
      <c r="A108" s="1033"/>
      <c r="B108" s="1034"/>
      <c r="C108" s="1035"/>
      <c r="D108" s="1057" t="s">
        <v>733</v>
      </c>
      <c r="E108" s="1036">
        <f>E107-203</f>
        <v>44018</v>
      </c>
      <c r="F108" s="1036">
        <f t="shared" si="1"/>
        <v>44223</v>
      </c>
      <c r="G108" s="1037"/>
      <c r="H108" s="1037"/>
      <c r="I108" s="1037">
        <v>7396</v>
      </c>
      <c r="J108" s="1037">
        <v>8000</v>
      </c>
      <c r="K108" s="1037"/>
      <c r="L108" s="1037"/>
      <c r="M108" s="1037">
        <f>M107-3000</f>
        <v>28826</v>
      </c>
      <c r="N108" s="1037"/>
      <c r="O108" s="1037">
        <v>1</v>
      </c>
      <c r="P108" s="1037"/>
      <c r="Q108" s="1037"/>
      <c r="R108" s="1038"/>
      <c r="S108" s="1039"/>
    </row>
    <row r="109" spans="1:19" ht="21" customHeight="1">
      <c r="A109" s="1033"/>
      <c r="B109" s="1034"/>
      <c r="C109" s="1035"/>
      <c r="D109" s="1057" t="s">
        <v>799</v>
      </c>
      <c r="E109" s="1036">
        <v>16943</v>
      </c>
      <c r="F109" s="1036">
        <f t="shared" si="1"/>
        <v>44223</v>
      </c>
      <c r="G109" s="1037"/>
      <c r="H109" s="1037"/>
      <c r="I109" s="1037">
        <v>7396</v>
      </c>
      <c r="J109" s="1037">
        <v>8000</v>
      </c>
      <c r="K109" s="1037"/>
      <c r="L109" s="1037"/>
      <c r="M109" s="1037">
        <v>28826</v>
      </c>
      <c r="N109" s="1037"/>
      <c r="O109" s="1037">
        <v>1</v>
      </c>
      <c r="P109" s="1037"/>
      <c r="Q109" s="1037"/>
      <c r="R109" s="1038"/>
      <c r="S109" s="1039"/>
    </row>
    <row r="110" spans="1:24" ht="21" customHeight="1">
      <c r="A110" s="1033" t="s">
        <v>317</v>
      </c>
      <c r="B110" s="1034" t="s">
        <v>361</v>
      </c>
      <c r="C110" s="1035" t="s">
        <v>362</v>
      </c>
      <c r="D110" s="1041" t="s">
        <v>4</v>
      </c>
      <c r="E110" s="1036">
        <v>600</v>
      </c>
      <c r="F110" s="1036">
        <f t="shared" si="1"/>
        <v>73283</v>
      </c>
      <c r="G110" s="1042">
        <v>1000</v>
      </c>
      <c r="H110" s="1042">
        <v>512</v>
      </c>
      <c r="I110" s="1042">
        <v>56451</v>
      </c>
      <c r="J110" s="1042"/>
      <c r="K110" s="1042"/>
      <c r="L110" s="1042"/>
      <c r="M110" s="1042">
        <v>0</v>
      </c>
      <c r="N110" s="1042">
        <v>15320</v>
      </c>
      <c r="O110" s="1042"/>
      <c r="P110" s="1042"/>
      <c r="Q110" s="1042"/>
      <c r="R110" s="1038"/>
      <c r="S110" s="1039"/>
      <c r="T110" s="1032"/>
      <c r="U110" s="1032"/>
      <c r="V110" s="1032"/>
      <c r="W110" s="1032"/>
      <c r="X110" s="1032"/>
    </row>
    <row r="111" spans="1:24" ht="21" customHeight="1" hidden="1">
      <c r="A111" s="1033"/>
      <c r="B111" s="1034"/>
      <c r="C111" s="1035"/>
      <c r="D111" s="1057" t="s">
        <v>668</v>
      </c>
      <c r="E111" s="1036">
        <v>600</v>
      </c>
      <c r="F111" s="1036">
        <f t="shared" si="1"/>
        <v>74068</v>
      </c>
      <c r="G111" s="1042">
        <v>1000</v>
      </c>
      <c r="H111" s="1042">
        <v>512</v>
      </c>
      <c r="I111" s="1042">
        <v>35646</v>
      </c>
      <c r="J111" s="1042">
        <v>21590</v>
      </c>
      <c r="K111" s="1042"/>
      <c r="L111" s="1042"/>
      <c r="M111" s="1042"/>
      <c r="N111" s="1042">
        <v>15320</v>
      </c>
      <c r="O111" s="1042"/>
      <c r="P111" s="1042"/>
      <c r="Q111" s="1042"/>
      <c r="R111" s="1038"/>
      <c r="S111" s="1039"/>
      <c r="T111" s="1032"/>
      <c r="U111" s="1032"/>
      <c r="V111" s="1032"/>
      <c r="W111" s="1032"/>
      <c r="X111" s="1032"/>
    </row>
    <row r="112" spans="1:24" ht="21" customHeight="1">
      <c r="A112" s="1033"/>
      <c r="B112" s="1034"/>
      <c r="C112" s="1035"/>
      <c r="D112" s="1057" t="s">
        <v>733</v>
      </c>
      <c r="E112" s="1036">
        <v>600</v>
      </c>
      <c r="F112" s="1036">
        <f t="shared" si="1"/>
        <v>68568</v>
      </c>
      <c r="G112" s="1042">
        <v>1000</v>
      </c>
      <c r="H112" s="1042">
        <v>512</v>
      </c>
      <c r="I112" s="1042">
        <f>I111-70</f>
        <v>35576</v>
      </c>
      <c r="J112" s="1042">
        <v>21590</v>
      </c>
      <c r="K112" s="1042"/>
      <c r="L112" s="1042"/>
      <c r="M112" s="1042">
        <v>0</v>
      </c>
      <c r="N112" s="1042">
        <f>N111-5430</f>
        <v>9890</v>
      </c>
      <c r="O112" s="1042"/>
      <c r="P112" s="1042"/>
      <c r="Q112" s="1042"/>
      <c r="R112" s="1038"/>
      <c r="S112" s="1039"/>
      <c r="T112" s="1032"/>
      <c r="U112" s="1032"/>
      <c r="V112" s="1032"/>
      <c r="W112" s="1032"/>
      <c r="X112" s="1032"/>
    </row>
    <row r="113" spans="1:24" ht="21" customHeight="1">
      <c r="A113" s="1033"/>
      <c r="B113" s="1034"/>
      <c r="C113" s="1035"/>
      <c r="D113" s="1057" t="s">
        <v>799</v>
      </c>
      <c r="E113" s="1036">
        <v>900</v>
      </c>
      <c r="F113" s="1036">
        <f t="shared" si="1"/>
        <v>63438</v>
      </c>
      <c r="G113" s="1042">
        <v>1000</v>
      </c>
      <c r="H113" s="1042">
        <v>512</v>
      </c>
      <c r="I113" s="1042">
        <v>30446</v>
      </c>
      <c r="J113" s="1042">
        <v>21590</v>
      </c>
      <c r="K113" s="1042"/>
      <c r="L113" s="1042"/>
      <c r="M113" s="1042">
        <v>0</v>
      </c>
      <c r="N113" s="1042">
        <v>9890</v>
      </c>
      <c r="O113" s="1042"/>
      <c r="P113" s="1042"/>
      <c r="Q113" s="1042"/>
      <c r="R113" s="1038"/>
      <c r="S113" s="1039"/>
      <c r="T113" s="1032"/>
      <c r="U113" s="1032"/>
      <c r="V113" s="1032"/>
      <c r="W113" s="1032"/>
      <c r="X113" s="1032"/>
    </row>
    <row r="114" spans="1:24" ht="21" customHeight="1">
      <c r="A114" s="1033" t="s">
        <v>317</v>
      </c>
      <c r="B114" s="1034" t="s">
        <v>361</v>
      </c>
      <c r="C114" s="1035" t="s">
        <v>363</v>
      </c>
      <c r="D114" s="1041" t="s">
        <v>4</v>
      </c>
      <c r="E114" s="1036"/>
      <c r="F114" s="1036">
        <f t="shared" si="1"/>
        <v>0</v>
      </c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38"/>
      <c r="S114" s="1039"/>
      <c r="T114" s="1032"/>
      <c r="U114" s="1032"/>
      <c r="V114" s="1032"/>
      <c r="W114" s="1032"/>
      <c r="X114" s="1032"/>
    </row>
    <row r="115" spans="1:24" ht="21" customHeight="1" hidden="1">
      <c r="A115" s="1033"/>
      <c r="B115" s="1034"/>
      <c r="C115" s="1035"/>
      <c r="D115" s="1057" t="s">
        <v>668</v>
      </c>
      <c r="E115" s="1036"/>
      <c r="F115" s="1036">
        <f t="shared" si="1"/>
        <v>0</v>
      </c>
      <c r="G115" s="1042"/>
      <c r="H115" s="1042"/>
      <c r="I115" s="1042"/>
      <c r="J115" s="1042"/>
      <c r="K115" s="1042"/>
      <c r="L115" s="1042"/>
      <c r="M115" s="1042"/>
      <c r="N115" s="1042"/>
      <c r="O115" s="1042"/>
      <c r="P115" s="1042"/>
      <c r="Q115" s="1042"/>
      <c r="R115" s="1038"/>
      <c r="S115" s="1039"/>
      <c r="T115" s="1032"/>
      <c r="U115" s="1032"/>
      <c r="V115" s="1032"/>
      <c r="W115" s="1032"/>
      <c r="X115" s="1032"/>
    </row>
    <row r="116" spans="1:24" ht="21" customHeight="1">
      <c r="A116" s="1033"/>
      <c r="B116" s="1034"/>
      <c r="C116" s="1035"/>
      <c r="D116" s="1057" t="s">
        <v>733</v>
      </c>
      <c r="E116" s="1036"/>
      <c r="F116" s="1036">
        <f t="shared" si="1"/>
        <v>0</v>
      </c>
      <c r="G116" s="1042"/>
      <c r="H116" s="1042"/>
      <c r="I116" s="1042"/>
      <c r="J116" s="1042"/>
      <c r="K116" s="1042"/>
      <c r="L116" s="1042"/>
      <c r="M116" s="1042"/>
      <c r="N116" s="1042"/>
      <c r="O116" s="1042"/>
      <c r="P116" s="1042"/>
      <c r="Q116" s="1042"/>
      <c r="R116" s="1038"/>
      <c r="S116" s="1039"/>
      <c r="T116" s="1032"/>
      <c r="U116" s="1032"/>
      <c r="V116" s="1032"/>
      <c r="W116" s="1032"/>
      <c r="X116" s="1032"/>
    </row>
    <row r="117" spans="1:24" ht="21" customHeight="1">
      <c r="A117" s="1033"/>
      <c r="B117" s="1034"/>
      <c r="C117" s="1035"/>
      <c r="D117" s="1057" t="s">
        <v>799</v>
      </c>
      <c r="E117" s="1036"/>
      <c r="F117" s="1036">
        <v>0</v>
      </c>
      <c r="G117" s="1042"/>
      <c r="H117" s="1042"/>
      <c r="I117" s="1042"/>
      <c r="J117" s="1042"/>
      <c r="K117" s="1042"/>
      <c r="L117" s="1042"/>
      <c r="M117" s="1042"/>
      <c r="N117" s="1042"/>
      <c r="O117" s="1042"/>
      <c r="P117" s="1042"/>
      <c r="Q117" s="1042"/>
      <c r="R117" s="1038"/>
      <c r="S117" s="1039"/>
      <c r="T117" s="1032"/>
      <c r="U117" s="1032"/>
      <c r="V117" s="1032"/>
      <c r="W117" s="1032"/>
      <c r="X117" s="1032"/>
    </row>
    <row r="118" spans="1:24" ht="21" customHeight="1">
      <c r="A118" s="1033" t="s">
        <v>320</v>
      </c>
      <c r="B118" s="1034" t="s">
        <v>364</v>
      </c>
      <c r="C118" s="1035" t="s">
        <v>365</v>
      </c>
      <c r="D118" s="1041" t="s">
        <v>4</v>
      </c>
      <c r="E118" s="1036">
        <v>1300</v>
      </c>
      <c r="F118" s="1036">
        <f t="shared" si="1"/>
        <v>0</v>
      </c>
      <c r="G118" s="1042"/>
      <c r="H118" s="1042"/>
      <c r="I118" s="1042"/>
      <c r="J118" s="1042"/>
      <c r="K118" s="1042"/>
      <c r="L118" s="1042"/>
      <c r="M118" s="1042"/>
      <c r="N118" s="1042"/>
      <c r="O118" s="1042"/>
      <c r="P118" s="1042"/>
      <c r="Q118" s="1042"/>
      <c r="R118" s="1038"/>
      <c r="S118" s="1039"/>
      <c r="T118" s="1032"/>
      <c r="U118" s="1032"/>
      <c r="V118" s="1032"/>
      <c r="W118" s="1032"/>
      <c r="X118" s="1032"/>
    </row>
    <row r="119" spans="1:24" ht="21" customHeight="1" hidden="1">
      <c r="A119" s="1033"/>
      <c r="B119" s="1034"/>
      <c r="C119" s="1035"/>
      <c r="D119" s="1057" t="s">
        <v>668</v>
      </c>
      <c r="E119" s="1036">
        <v>1300</v>
      </c>
      <c r="F119" s="1036">
        <f t="shared" si="1"/>
        <v>0</v>
      </c>
      <c r="G119" s="1042"/>
      <c r="H119" s="1042"/>
      <c r="I119" s="1042"/>
      <c r="J119" s="1042"/>
      <c r="K119" s="1042"/>
      <c r="L119" s="1042"/>
      <c r="M119" s="1042"/>
      <c r="N119" s="1042"/>
      <c r="O119" s="1042"/>
      <c r="P119" s="1042"/>
      <c r="Q119" s="1042"/>
      <c r="R119" s="1038"/>
      <c r="S119" s="1039"/>
      <c r="T119" s="1032"/>
      <c r="U119" s="1032"/>
      <c r="V119" s="1032"/>
      <c r="W119" s="1032"/>
      <c r="X119" s="1032"/>
    </row>
    <row r="120" spans="1:24" ht="21" customHeight="1">
      <c r="A120" s="1033"/>
      <c r="B120" s="1034"/>
      <c r="C120" s="1035"/>
      <c r="D120" s="1057" t="s">
        <v>733</v>
      </c>
      <c r="E120" s="1036">
        <v>1300</v>
      </c>
      <c r="F120" s="1036">
        <f t="shared" si="1"/>
        <v>0</v>
      </c>
      <c r="G120" s="1042"/>
      <c r="H120" s="1042"/>
      <c r="I120" s="1042"/>
      <c r="J120" s="1042"/>
      <c r="K120" s="1042"/>
      <c r="L120" s="1042"/>
      <c r="M120" s="1042"/>
      <c r="N120" s="1042"/>
      <c r="O120" s="1042"/>
      <c r="P120" s="1042"/>
      <c r="Q120" s="1042"/>
      <c r="R120" s="1038"/>
      <c r="S120" s="1039"/>
      <c r="T120" s="1032"/>
      <c r="U120" s="1032"/>
      <c r="V120" s="1032"/>
      <c r="W120" s="1032"/>
      <c r="X120" s="1032"/>
    </row>
    <row r="121" spans="1:24" ht="21" customHeight="1">
      <c r="A121" s="1033"/>
      <c r="B121" s="1034"/>
      <c r="C121" s="1035"/>
      <c r="D121" s="1057" t="s">
        <v>799</v>
      </c>
      <c r="E121" s="1036">
        <v>1300</v>
      </c>
      <c r="F121" s="1036">
        <v>0</v>
      </c>
      <c r="G121" s="1042"/>
      <c r="H121" s="1042"/>
      <c r="I121" s="1042"/>
      <c r="J121" s="1042"/>
      <c r="K121" s="1042"/>
      <c r="L121" s="1042"/>
      <c r="M121" s="1042"/>
      <c r="N121" s="1042"/>
      <c r="O121" s="1042"/>
      <c r="P121" s="1042"/>
      <c r="Q121" s="1042"/>
      <c r="R121" s="1038"/>
      <c r="S121" s="1039"/>
      <c r="T121" s="1032"/>
      <c r="U121" s="1032"/>
      <c r="V121" s="1032"/>
      <c r="W121" s="1032"/>
      <c r="X121" s="1032"/>
    </row>
    <row r="122" spans="1:19" ht="21" customHeight="1">
      <c r="A122" s="1033" t="s">
        <v>317</v>
      </c>
      <c r="B122" s="1034" t="s">
        <v>366</v>
      </c>
      <c r="C122" s="1041" t="s">
        <v>367</v>
      </c>
      <c r="D122" s="1041" t="s">
        <v>4</v>
      </c>
      <c r="E122" s="1036"/>
      <c r="F122" s="1036">
        <f t="shared" si="1"/>
        <v>32270</v>
      </c>
      <c r="G122" s="1037"/>
      <c r="H122" s="1037"/>
      <c r="I122" s="1037">
        <v>1270</v>
      </c>
      <c r="J122" s="1037"/>
      <c r="K122" s="1037"/>
      <c r="L122" s="1037"/>
      <c r="M122" s="1037"/>
      <c r="N122" s="1037">
        <v>31000</v>
      </c>
      <c r="O122" s="1037"/>
      <c r="P122" s="1037"/>
      <c r="Q122" s="1037"/>
      <c r="R122" s="1038"/>
      <c r="S122" s="1039"/>
    </row>
    <row r="123" spans="1:19" ht="21" customHeight="1" hidden="1">
      <c r="A123" s="1033"/>
      <c r="B123" s="1034"/>
      <c r="C123" s="1041"/>
      <c r="D123" s="1057" t="s">
        <v>668</v>
      </c>
      <c r="E123" s="1036"/>
      <c r="F123" s="1036">
        <f t="shared" si="1"/>
        <v>32270</v>
      </c>
      <c r="G123" s="1037"/>
      <c r="H123" s="1037"/>
      <c r="I123" s="1037">
        <v>762</v>
      </c>
      <c r="J123" s="1037">
        <v>508</v>
      </c>
      <c r="K123" s="1037"/>
      <c r="L123" s="1037"/>
      <c r="M123" s="1037"/>
      <c r="N123" s="1037">
        <v>31000</v>
      </c>
      <c r="O123" s="1037"/>
      <c r="P123" s="1037"/>
      <c r="Q123" s="1037"/>
      <c r="R123" s="1038"/>
      <c r="S123" s="1039"/>
    </row>
    <row r="124" spans="1:19" ht="21" customHeight="1">
      <c r="A124" s="1033"/>
      <c r="B124" s="1034"/>
      <c r="C124" s="1041"/>
      <c r="D124" s="1057" t="s">
        <v>733</v>
      </c>
      <c r="E124" s="1036">
        <v>203</v>
      </c>
      <c r="F124" s="1036">
        <f t="shared" si="1"/>
        <v>32270</v>
      </c>
      <c r="G124" s="1037"/>
      <c r="H124" s="1037"/>
      <c r="I124" s="1037">
        <v>762</v>
      </c>
      <c r="J124" s="1037">
        <v>508</v>
      </c>
      <c r="K124" s="1037"/>
      <c r="L124" s="1037"/>
      <c r="M124" s="1037"/>
      <c r="N124" s="1037">
        <v>31000</v>
      </c>
      <c r="O124" s="1037"/>
      <c r="P124" s="1037"/>
      <c r="Q124" s="1037"/>
      <c r="R124" s="1038"/>
      <c r="S124" s="1039"/>
    </row>
    <row r="125" spans="1:19" ht="21" customHeight="1">
      <c r="A125" s="1033"/>
      <c r="B125" s="1034"/>
      <c r="C125" s="1041"/>
      <c r="D125" s="1057" t="s">
        <v>799</v>
      </c>
      <c r="E125" s="1036">
        <v>203</v>
      </c>
      <c r="F125" s="1036">
        <f t="shared" si="1"/>
        <v>32270</v>
      </c>
      <c r="G125" s="1037"/>
      <c r="H125" s="1037"/>
      <c r="I125" s="1037">
        <v>762</v>
      </c>
      <c r="J125" s="1037">
        <v>508</v>
      </c>
      <c r="K125" s="1037"/>
      <c r="L125" s="1037"/>
      <c r="M125" s="1037"/>
      <c r="N125" s="1037">
        <v>31000</v>
      </c>
      <c r="O125" s="1037"/>
      <c r="P125" s="1037"/>
      <c r="Q125" s="1037"/>
      <c r="R125" s="1038"/>
      <c r="S125" s="1039"/>
    </row>
    <row r="126" spans="1:24" ht="21" customHeight="1">
      <c r="A126" s="1033" t="s">
        <v>317</v>
      </c>
      <c r="B126" s="1034" t="s">
        <v>368</v>
      </c>
      <c r="C126" s="1035" t="s">
        <v>369</v>
      </c>
      <c r="D126" s="1041" t="s">
        <v>4</v>
      </c>
      <c r="E126" s="1036">
        <v>2582</v>
      </c>
      <c r="F126" s="1036">
        <f t="shared" si="1"/>
        <v>133001</v>
      </c>
      <c r="G126" s="1042"/>
      <c r="H126" s="1042"/>
      <c r="I126" s="1042">
        <v>55728</v>
      </c>
      <c r="J126" s="1042"/>
      <c r="K126" s="1042"/>
      <c r="L126" s="1042"/>
      <c r="M126" s="1042">
        <v>10453</v>
      </c>
      <c r="N126" s="1042">
        <v>66820</v>
      </c>
      <c r="O126" s="1044"/>
      <c r="P126" s="1042"/>
      <c r="Q126" s="1042"/>
      <c r="R126" s="1038"/>
      <c r="S126" s="1039"/>
      <c r="T126" s="1032"/>
      <c r="U126" s="1032"/>
      <c r="V126" s="1032"/>
      <c r="W126" s="1032"/>
      <c r="X126" s="1032"/>
    </row>
    <row r="127" spans="1:24" ht="21" customHeight="1" hidden="1">
      <c r="A127" s="1033"/>
      <c r="B127" s="1034"/>
      <c r="C127" s="1035"/>
      <c r="D127" s="1057" t="s">
        <v>668</v>
      </c>
      <c r="E127" s="1036">
        <v>2582</v>
      </c>
      <c r="F127" s="1036">
        <f t="shared" si="1"/>
        <v>134488</v>
      </c>
      <c r="G127" s="1042"/>
      <c r="H127" s="1042"/>
      <c r="I127" s="1042">
        <v>57215</v>
      </c>
      <c r="J127" s="1042"/>
      <c r="K127" s="1042"/>
      <c r="L127" s="1042"/>
      <c r="M127" s="1042">
        <v>10453</v>
      </c>
      <c r="N127" s="1042">
        <v>66820</v>
      </c>
      <c r="O127" s="1044"/>
      <c r="P127" s="1042"/>
      <c r="Q127" s="1042"/>
      <c r="R127" s="1038"/>
      <c r="S127" s="1039"/>
      <c r="T127" s="1032"/>
      <c r="U127" s="1032"/>
      <c r="V127" s="1032"/>
      <c r="W127" s="1032"/>
      <c r="X127" s="1032"/>
    </row>
    <row r="128" spans="1:24" ht="21" customHeight="1">
      <c r="A128" s="1033"/>
      <c r="B128" s="1034"/>
      <c r="C128" s="1035"/>
      <c r="D128" s="1057" t="s">
        <v>733</v>
      </c>
      <c r="E128" s="1036">
        <f>E127+456</f>
        <v>3038</v>
      </c>
      <c r="F128" s="1036">
        <f t="shared" si="1"/>
        <v>142488</v>
      </c>
      <c r="G128" s="1042"/>
      <c r="H128" s="1042"/>
      <c r="I128" s="1042">
        <v>57215</v>
      </c>
      <c r="J128" s="1042"/>
      <c r="K128" s="1042"/>
      <c r="L128" s="1042"/>
      <c r="M128" s="1042">
        <f>M127-2000</f>
        <v>8453</v>
      </c>
      <c r="N128" s="1042">
        <f>N127+10000</f>
        <v>76820</v>
      </c>
      <c r="O128" s="1044"/>
      <c r="P128" s="1042"/>
      <c r="Q128" s="1042"/>
      <c r="R128" s="1038"/>
      <c r="S128" s="1039"/>
      <c r="T128" s="1032"/>
      <c r="U128" s="1032"/>
      <c r="V128" s="1032"/>
      <c r="W128" s="1032"/>
      <c r="X128" s="1032"/>
    </row>
    <row r="129" spans="1:24" ht="21" customHeight="1">
      <c r="A129" s="1033"/>
      <c r="B129" s="1034"/>
      <c r="C129" s="1035"/>
      <c r="D129" s="1057" t="s">
        <v>799</v>
      </c>
      <c r="E129" s="1036">
        <v>3038</v>
      </c>
      <c r="F129" s="1036">
        <f t="shared" si="1"/>
        <v>142488</v>
      </c>
      <c r="G129" s="1042"/>
      <c r="H129" s="1042"/>
      <c r="I129" s="1042">
        <v>56273</v>
      </c>
      <c r="J129" s="1042"/>
      <c r="K129" s="1042"/>
      <c r="L129" s="1042"/>
      <c r="M129" s="1042">
        <v>9395</v>
      </c>
      <c r="N129" s="1042">
        <v>76820</v>
      </c>
      <c r="O129" s="1044"/>
      <c r="P129" s="1042"/>
      <c r="Q129" s="1042"/>
      <c r="R129" s="1038"/>
      <c r="S129" s="1039"/>
      <c r="T129" s="1032"/>
      <c r="U129" s="1032"/>
      <c r="V129" s="1032"/>
      <c r="W129" s="1032"/>
      <c r="X129" s="1032"/>
    </row>
    <row r="130" spans="1:24" ht="21" customHeight="1">
      <c r="A130" s="1033" t="s">
        <v>317</v>
      </c>
      <c r="B130" s="1034" t="s">
        <v>370</v>
      </c>
      <c r="C130" s="1035" t="s">
        <v>371</v>
      </c>
      <c r="D130" s="1041" t="s">
        <v>4</v>
      </c>
      <c r="E130" s="1036"/>
      <c r="F130" s="1036">
        <f t="shared" si="1"/>
        <v>99301</v>
      </c>
      <c r="G130" s="1037"/>
      <c r="H130" s="1037"/>
      <c r="I130" s="1037">
        <v>89776</v>
      </c>
      <c r="J130" s="1037"/>
      <c r="K130" s="1037"/>
      <c r="L130" s="1037"/>
      <c r="M130" s="1037">
        <v>9525</v>
      </c>
      <c r="N130" s="1037"/>
      <c r="O130" s="1037"/>
      <c r="P130" s="1037"/>
      <c r="Q130" s="1037"/>
      <c r="R130" s="1038"/>
      <c r="S130" s="1039"/>
      <c r="T130" s="1032"/>
      <c r="U130" s="1032"/>
      <c r="V130" s="1032"/>
      <c r="W130" s="1032"/>
      <c r="X130" s="1032"/>
    </row>
    <row r="131" spans="1:24" ht="21" customHeight="1" hidden="1">
      <c r="A131" s="1033"/>
      <c r="B131" s="1034"/>
      <c r="C131" s="1035"/>
      <c r="D131" s="1057" t="s">
        <v>668</v>
      </c>
      <c r="E131" s="1036"/>
      <c r="F131" s="1036">
        <f t="shared" si="1"/>
        <v>99301</v>
      </c>
      <c r="G131" s="1037"/>
      <c r="H131" s="1037"/>
      <c r="I131" s="1037">
        <v>22171</v>
      </c>
      <c r="J131" s="1037">
        <v>67605</v>
      </c>
      <c r="K131" s="1037"/>
      <c r="L131" s="1037"/>
      <c r="M131" s="1037">
        <v>9525</v>
      </c>
      <c r="N131" s="1037"/>
      <c r="O131" s="1037"/>
      <c r="P131" s="1037"/>
      <c r="Q131" s="1037"/>
      <c r="R131" s="1038"/>
      <c r="S131" s="1039"/>
      <c r="T131" s="1032"/>
      <c r="U131" s="1032"/>
      <c r="V131" s="1032"/>
      <c r="W131" s="1032"/>
      <c r="X131" s="1032"/>
    </row>
    <row r="132" spans="1:24" ht="21" customHeight="1">
      <c r="A132" s="1033"/>
      <c r="B132" s="1034"/>
      <c r="C132" s="1035"/>
      <c r="D132" s="1057" t="s">
        <v>733</v>
      </c>
      <c r="E132" s="1036"/>
      <c r="F132" s="1036">
        <f t="shared" si="1"/>
        <v>99301</v>
      </c>
      <c r="G132" s="1037"/>
      <c r="H132" s="1037"/>
      <c r="I132" s="1037">
        <v>22171</v>
      </c>
      <c r="J132" s="1037">
        <v>67605</v>
      </c>
      <c r="K132" s="1037"/>
      <c r="L132" s="1037"/>
      <c r="M132" s="1037">
        <v>9525</v>
      </c>
      <c r="N132" s="1037"/>
      <c r="O132" s="1037"/>
      <c r="P132" s="1037"/>
      <c r="Q132" s="1037"/>
      <c r="R132" s="1038"/>
      <c r="S132" s="1039"/>
      <c r="T132" s="1032"/>
      <c r="U132" s="1032"/>
      <c r="V132" s="1032"/>
      <c r="W132" s="1032"/>
      <c r="X132" s="1032"/>
    </row>
    <row r="133" spans="1:24" ht="21" customHeight="1">
      <c r="A133" s="1033"/>
      <c r="B133" s="1034"/>
      <c r="C133" s="1035"/>
      <c r="D133" s="1057" t="s">
        <v>799</v>
      </c>
      <c r="E133" s="1036"/>
      <c r="F133" s="1036">
        <f t="shared" si="1"/>
        <v>99301</v>
      </c>
      <c r="G133" s="1037"/>
      <c r="H133" s="1037"/>
      <c r="I133" s="1037">
        <v>22131</v>
      </c>
      <c r="J133" s="1037">
        <v>67605</v>
      </c>
      <c r="K133" s="1037"/>
      <c r="L133" s="1037"/>
      <c r="M133" s="1037">
        <v>9525</v>
      </c>
      <c r="N133" s="1037">
        <v>40</v>
      </c>
      <c r="O133" s="1037"/>
      <c r="P133" s="1037"/>
      <c r="Q133" s="1037"/>
      <c r="R133" s="1038"/>
      <c r="S133" s="1039"/>
      <c r="T133" s="1032"/>
      <c r="U133" s="1032"/>
      <c r="V133" s="1032"/>
      <c r="W133" s="1032"/>
      <c r="X133" s="1032"/>
    </row>
    <row r="134" spans="1:24" ht="21" customHeight="1">
      <c r="A134" s="1033" t="s">
        <v>317</v>
      </c>
      <c r="B134" s="1034" t="s">
        <v>370</v>
      </c>
      <c r="C134" s="1035" t="s">
        <v>372</v>
      </c>
      <c r="D134" s="1041" t="s">
        <v>4</v>
      </c>
      <c r="E134" s="1036"/>
      <c r="F134" s="1036">
        <f t="shared" si="1"/>
        <v>22225</v>
      </c>
      <c r="G134" s="1042"/>
      <c r="H134" s="1042"/>
      <c r="I134" s="1042">
        <v>9525</v>
      </c>
      <c r="J134" s="1042"/>
      <c r="K134" s="1042"/>
      <c r="L134" s="1042"/>
      <c r="M134" s="1042">
        <v>12700</v>
      </c>
      <c r="N134" s="1042"/>
      <c r="O134" s="1042"/>
      <c r="P134" s="1042"/>
      <c r="Q134" s="1042"/>
      <c r="R134" s="1038"/>
      <c r="S134" s="1039"/>
      <c r="T134" s="1032"/>
      <c r="U134" s="1032"/>
      <c r="V134" s="1032"/>
      <c r="W134" s="1032"/>
      <c r="X134" s="1032"/>
    </row>
    <row r="135" spans="1:24" ht="21" customHeight="1" hidden="1">
      <c r="A135" s="1033"/>
      <c r="B135" s="1034"/>
      <c r="C135" s="1035"/>
      <c r="D135" s="1057" t="s">
        <v>668</v>
      </c>
      <c r="E135" s="1036"/>
      <c r="F135" s="1036">
        <f t="shared" si="1"/>
        <v>22225</v>
      </c>
      <c r="G135" s="1042"/>
      <c r="H135" s="1042"/>
      <c r="I135" s="1042">
        <v>0</v>
      </c>
      <c r="J135" s="1042">
        <v>19045</v>
      </c>
      <c r="K135" s="1042"/>
      <c r="L135" s="1042"/>
      <c r="M135" s="1042">
        <v>3180</v>
      </c>
      <c r="N135" s="1042"/>
      <c r="O135" s="1042"/>
      <c r="P135" s="1042"/>
      <c r="Q135" s="1042"/>
      <c r="R135" s="1038"/>
      <c r="S135" s="1039"/>
      <c r="T135" s="1032"/>
      <c r="U135" s="1032"/>
      <c r="V135" s="1032"/>
      <c r="W135" s="1032"/>
      <c r="X135" s="1032"/>
    </row>
    <row r="136" spans="1:24" ht="21" customHeight="1">
      <c r="A136" s="1033"/>
      <c r="B136" s="1034"/>
      <c r="C136" s="1035"/>
      <c r="D136" s="1057" t="s">
        <v>733</v>
      </c>
      <c r="E136" s="1036"/>
      <c r="F136" s="1036">
        <f t="shared" si="1"/>
        <v>22225</v>
      </c>
      <c r="G136" s="1042"/>
      <c r="H136" s="1042"/>
      <c r="I136" s="1042">
        <v>0</v>
      </c>
      <c r="J136" s="1042">
        <v>19045</v>
      </c>
      <c r="K136" s="1042"/>
      <c r="L136" s="1042"/>
      <c r="M136" s="1042">
        <v>3180</v>
      </c>
      <c r="N136" s="1042"/>
      <c r="O136" s="1042"/>
      <c r="P136" s="1042"/>
      <c r="Q136" s="1042"/>
      <c r="R136" s="1038"/>
      <c r="S136" s="1039"/>
      <c r="T136" s="1032"/>
      <c r="U136" s="1032"/>
      <c r="V136" s="1032"/>
      <c r="W136" s="1032"/>
      <c r="X136" s="1032"/>
    </row>
    <row r="137" spans="1:24" ht="21" customHeight="1">
      <c r="A137" s="1033"/>
      <c r="B137" s="1034"/>
      <c r="C137" s="1035"/>
      <c r="D137" s="1057" t="s">
        <v>799</v>
      </c>
      <c r="E137" s="1036"/>
      <c r="F137" s="1036">
        <f t="shared" si="1"/>
        <v>22503</v>
      </c>
      <c r="G137" s="1042"/>
      <c r="H137" s="1042"/>
      <c r="I137" s="1042">
        <v>278</v>
      </c>
      <c r="J137" s="1042">
        <v>19045</v>
      </c>
      <c r="K137" s="1042"/>
      <c r="L137" s="1042"/>
      <c r="M137" s="1042">
        <v>3180</v>
      </c>
      <c r="N137" s="1042"/>
      <c r="O137" s="1042"/>
      <c r="P137" s="1042"/>
      <c r="Q137" s="1042"/>
      <c r="R137" s="1038"/>
      <c r="S137" s="1039"/>
      <c r="T137" s="1032"/>
      <c r="U137" s="1032"/>
      <c r="V137" s="1032"/>
      <c r="W137" s="1032"/>
      <c r="X137" s="1032"/>
    </row>
    <row r="138" spans="1:24" ht="21" customHeight="1">
      <c r="A138" s="1033" t="s">
        <v>317</v>
      </c>
      <c r="B138" s="1034" t="s">
        <v>370</v>
      </c>
      <c r="C138" s="1035" t="s">
        <v>373</v>
      </c>
      <c r="D138" s="1041" t="s">
        <v>4</v>
      </c>
      <c r="E138" s="1036"/>
      <c r="F138" s="1036">
        <f t="shared" si="1"/>
        <v>0</v>
      </c>
      <c r="G138" s="1042"/>
      <c r="H138" s="1042"/>
      <c r="I138" s="1042"/>
      <c r="J138" s="1042"/>
      <c r="K138" s="1042"/>
      <c r="L138" s="1042"/>
      <c r="M138" s="1042"/>
      <c r="N138" s="1042"/>
      <c r="O138" s="1042"/>
      <c r="P138" s="1042"/>
      <c r="Q138" s="1042"/>
      <c r="R138" s="1038"/>
      <c r="S138" s="1039"/>
      <c r="T138" s="1032"/>
      <c r="U138" s="1032"/>
      <c r="V138" s="1032"/>
      <c r="W138" s="1032"/>
      <c r="X138" s="1032"/>
    </row>
    <row r="139" spans="1:24" ht="21" customHeight="1" hidden="1">
      <c r="A139" s="1033"/>
      <c r="B139" s="1034"/>
      <c r="C139" s="1035"/>
      <c r="D139" s="1057" t="s">
        <v>668</v>
      </c>
      <c r="E139" s="1036"/>
      <c r="F139" s="1036">
        <f t="shared" si="1"/>
        <v>0</v>
      </c>
      <c r="G139" s="1042"/>
      <c r="H139" s="1042"/>
      <c r="I139" s="1042"/>
      <c r="J139" s="1042"/>
      <c r="K139" s="1042"/>
      <c r="L139" s="1042"/>
      <c r="M139" s="1042"/>
      <c r="N139" s="1042"/>
      <c r="O139" s="1042"/>
      <c r="P139" s="1042"/>
      <c r="Q139" s="1042"/>
      <c r="R139" s="1038"/>
      <c r="S139" s="1039"/>
      <c r="T139" s="1032"/>
      <c r="U139" s="1032"/>
      <c r="V139" s="1032"/>
      <c r="W139" s="1032"/>
      <c r="X139" s="1032"/>
    </row>
    <row r="140" spans="1:24" ht="21" customHeight="1">
      <c r="A140" s="1033"/>
      <c r="B140" s="1034"/>
      <c r="C140" s="1035"/>
      <c r="D140" s="1057" t="s">
        <v>733</v>
      </c>
      <c r="E140" s="1036"/>
      <c r="F140" s="1036">
        <f t="shared" si="1"/>
        <v>0</v>
      </c>
      <c r="G140" s="1042"/>
      <c r="H140" s="1042"/>
      <c r="I140" s="1042"/>
      <c r="J140" s="1042"/>
      <c r="K140" s="1042"/>
      <c r="L140" s="1042"/>
      <c r="M140" s="1042"/>
      <c r="N140" s="1042"/>
      <c r="O140" s="1042"/>
      <c r="P140" s="1042"/>
      <c r="Q140" s="1042"/>
      <c r="R140" s="1038"/>
      <c r="S140" s="1039"/>
      <c r="T140" s="1032"/>
      <c r="U140" s="1032"/>
      <c r="V140" s="1032"/>
      <c r="W140" s="1032"/>
      <c r="X140" s="1032"/>
    </row>
    <row r="141" spans="1:24" ht="21" customHeight="1">
      <c r="A141" s="1033"/>
      <c r="B141" s="1034"/>
      <c r="C141" s="1035"/>
      <c r="D141" s="1057" t="s">
        <v>799</v>
      </c>
      <c r="E141" s="1036"/>
      <c r="F141" s="1036">
        <v>0</v>
      </c>
      <c r="G141" s="1042"/>
      <c r="H141" s="1042"/>
      <c r="I141" s="1042"/>
      <c r="J141" s="1042"/>
      <c r="K141" s="1042"/>
      <c r="L141" s="1042"/>
      <c r="M141" s="1042"/>
      <c r="N141" s="1042"/>
      <c r="O141" s="1042"/>
      <c r="P141" s="1042"/>
      <c r="Q141" s="1042"/>
      <c r="R141" s="1038"/>
      <c r="S141" s="1039"/>
      <c r="T141" s="1032"/>
      <c r="U141" s="1032"/>
      <c r="V141" s="1032"/>
      <c r="W141" s="1032"/>
      <c r="X141" s="1032"/>
    </row>
    <row r="142" spans="1:24" ht="21" customHeight="1">
      <c r="A142" s="1033" t="s">
        <v>317</v>
      </c>
      <c r="B142" s="1034" t="s">
        <v>374</v>
      </c>
      <c r="C142" s="1035" t="s">
        <v>375</v>
      </c>
      <c r="D142" s="1041" t="s">
        <v>4</v>
      </c>
      <c r="E142" s="1036"/>
      <c r="F142" s="1036">
        <f t="shared" si="1"/>
        <v>12891</v>
      </c>
      <c r="G142" s="1042"/>
      <c r="H142" s="1042"/>
      <c r="I142" s="1042">
        <v>12891</v>
      </c>
      <c r="J142" s="1042"/>
      <c r="K142" s="1042"/>
      <c r="L142" s="1042"/>
      <c r="M142" s="1042"/>
      <c r="N142" s="1042"/>
      <c r="O142" s="1042"/>
      <c r="P142" s="1042"/>
      <c r="Q142" s="1042"/>
      <c r="R142" s="1038"/>
      <c r="S142" s="1039"/>
      <c r="T142" s="1032"/>
      <c r="U142" s="1032"/>
      <c r="V142" s="1032"/>
      <c r="W142" s="1032"/>
      <c r="X142" s="1032"/>
    </row>
    <row r="143" spans="1:24" ht="21" customHeight="1" hidden="1">
      <c r="A143" s="1033"/>
      <c r="B143" s="1034"/>
      <c r="C143" s="1035"/>
      <c r="D143" s="1057" t="s">
        <v>668</v>
      </c>
      <c r="E143" s="1036"/>
      <c r="F143" s="1036">
        <f t="shared" si="1"/>
        <v>12391</v>
      </c>
      <c r="G143" s="1042"/>
      <c r="H143" s="1042"/>
      <c r="I143" s="1042">
        <v>12391</v>
      </c>
      <c r="J143" s="1042"/>
      <c r="K143" s="1042"/>
      <c r="L143" s="1042"/>
      <c r="M143" s="1042"/>
      <c r="N143" s="1042"/>
      <c r="O143" s="1042"/>
      <c r="P143" s="1042"/>
      <c r="Q143" s="1042"/>
      <c r="R143" s="1038"/>
      <c r="S143" s="1039"/>
      <c r="T143" s="1032"/>
      <c r="U143" s="1032"/>
      <c r="V143" s="1032"/>
      <c r="W143" s="1032"/>
      <c r="X143" s="1032"/>
    </row>
    <row r="144" spans="1:24" ht="21" customHeight="1">
      <c r="A144" s="1033"/>
      <c r="B144" s="1034"/>
      <c r="C144" s="1035"/>
      <c r="D144" s="1057" t="s">
        <v>733</v>
      </c>
      <c r="E144" s="1036"/>
      <c r="F144" s="1036">
        <f t="shared" si="1"/>
        <v>12391</v>
      </c>
      <c r="G144" s="1042"/>
      <c r="H144" s="1042"/>
      <c r="I144" s="1042">
        <v>12391</v>
      </c>
      <c r="J144" s="1042"/>
      <c r="K144" s="1042"/>
      <c r="L144" s="1042"/>
      <c r="M144" s="1042"/>
      <c r="N144" s="1042"/>
      <c r="O144" s="1042"/>
      <c r="P144" s="1042"/>
      <c r="Q144" s="1042"/>
      <c r="R144" s="1038"/>
      <c r="S144" s="1039"/>
      <c r="T144" s="1032"/>
      <c r="U144" s="1032"/>
      <c r="V144" s="1032"/>
      <c r="W144" s="1032"/>
      <c r="X144" s="1032"/>
    </row>
    <row r="145" spans="1:24" ht="21" customHeight="1">
      <c r="A145" s="1033"/>
      <c r="B145" s="1034"/>
      <c r="C145" s="1035"/>
      <c r="D145" s="1057" t="s">
        <v>799</v>
      </c>
      <c r="E145" s="1036"/>
      <c r="F145" s="1036">
        <f t="shared" si="1"/>
        <v>12391</v>
      </c>
      <c r="G145" s="1042"/>
      <c r="H145" s="1042"/>
      <c r="I145" s="1042">
        <v>12391</v>
      </c>
      <c r="J145" s="1042"/>
      <c r="K145" s="1042"/>
      <c r="L145" s="1042"/>
      <c r="M145" s="1042"/>
      <c r="N145" s="1042"/>
      <c r="O145" s="1042"/>
      <c r="P145" s="1042"/>
      <c r="Q145" s="1042"/>
      <c r="R145" s="1038"/>
      <c r="S145" s="1039"/>
      <c r="T145" s="1032"/>
      <c r="U145" s="1032"/>
      <c r="V145" s="1032"/>
      <c r="W145" s="1032"/>
      <c r="X145" s="1032"/>
    </row>
    <row r="146" spans="1:24" ht="21" customHeight="1">
      <c r="A146" s="1033" t="s">
        <v>317</v>
      </c>
      <c r="B146" s="1034" t="s">
        <v>374</v>
      </c>
      <c r="C146" s="1035" t="s">
        <v>376</v>
      </c>
      <c r="D146" s="1041" t="s">
        <v>4</v>
      </c>
      <c r="E146" s="1036"/>
      <c r="F146" s="1036">
        <f t="shared" si="1"/>
        <v>30921</v>
      </c>
      <c r="G146" s="1037">
        <v>1000</v>
      </c>
      <c r="H146" s="1037">
        <v>282</v>
      </c>
      <c r="I146" s="1037">
        <v>23639</v>
      </c>
      <c r="J146" s="1037"/>
      <c r="K146" s="1037"/>
      <c r="L146" s="1037"/>
      <c r="M146" s="1037"/>
      <c r="N146" s="1037"/>
      <c r="O146" s="1037">
        <v>6000</v>
      </c>
      <c r="P146" s="1037"/>
      <c r="Q146" s="1037"/>
      <c r="R146" s="1038"/>
      <c r="S146" s="1039"/>
      <c r="T146" s="1032"/>
      <c r="U146" s="1032"/>
      <c r="V146" s="1032"/>
      <c r="W146" s="1032"/>
      <c r="X146" s="1032"/>
    </row>
    <row r="147" spans="1:24" ht="21" customHeight="1" hidden="1">
      <c r="A147" s="1033"/>
      <c r="B147" s="1034"/>
      <c r="C147" s="1035"/>
      <c r="D147" s="1057" t="s">
        <v>668</v>
      </c>
      <c r="E147" s="1036"/>
      <c r="F147" s="1036">
        <f t="shared" si="1"/>
        <v>30921</v>
      </c>
      <c r="G147" s="1037">
        <v>1000</v>
      </c>
      <c r="H147" s="1037">
        <v>282</v>
      </c>
      <c r="I147" s="1037">
        <v>23639</v>
      </c>
      <c r="J147" s="1037"/>
      <c r="K147" s="1037"/>
      <c r="L147" s="1037"/>
      <c r="M147" s="1037"/>
      <c r="N147" s="1037"/>
      <c r="O147" s="1037">
        <v>6000</v>
      </c>
      <c r="P147" s="1037"/>
      <c r="Q147" s="1037"/>
      <c r="R147" s="1038"/>
      <c r="S147" s="1039"/>
      <c r="T147" s="1032"/>
      <c r="U147" s="1032"/>
      <c r="V147" s="1032"/>
      <c r="W147" s="1032"/>
      <c r="X147" s="1032"/>
    </row>
    <row r="148" spans="1:24" ht="21" customHeight="1">
      <c r="A148" s="1033"/>
      <c r="B148" s="1034"/>
      <c r="C148" s="1035"/>
      <c r="D148" s="1057" t="s">
        <v>733</v>
      </c>
      <c r="E148" s="1036"/>
      <c r="F148" s="1036">
        <f t="shared" si="1"/>
        <v>20921</v>
      </c>
      <c r="G148" s="1037">
        <f>G147-400</f>
        <v>600</v>
      </c>
      <c r="H148" s="1037">
        <f>H147-120</f>
        <v>162</v>
      </c>
      <c r="I148" s="1037">
        <f>I147+520-10000</f>
        <v>14159</v>
      </c>
      <c r="J148" s="1037"/>
      <c r="K148" s="1037"/>
      <c r="L148" s="1037"/>
      <c r="M148" s="1037"/>
      <c r="N148" s="1037"/>
      <c r="O148" s="1037">
        <v>6000</v>
      </c>
      <c r="P148" s="1037"/>
      <c r="Q148" s="1037"/>
      <c r="R148" s="1038"/>
      <c r="S148" s="1039"/>
      <c r="T148" s="1032"/>
      <c r="U148" s="1032"/>
      <c r="V148" s="1032"/>
      <c r="W148" s="1032"/>
      <c r="X148" s="1032"/>
    </row>
    <row r="149" spans="1:24" ht="21" customHeight="1">
      <c r="A149" s="1033"/>
      <c r="B149" s="1034"/>
      <c r="C149" s="1035"/>
      <c r="D149" s="1057" t="s">
        <v>799</v>
      </c>
      <c r="E149" s="1036"/>
      <c r="F149" s="1036">
        <f t="shared" si="1"/>
        <v>20921</v>
      </c>
      <c r="G149" s="1037">
        <v>600</v>
      </c>
      <c r="H149" s="1037">
        <v>162</v>
      </c>
      <c r="I149" s="1037">
        <v>14159</v>
      </c>
      <c r="J149" s="1037"/>
      <c r="K149" s="1037"/>
      <c r="L149" s="1037"/>
      <c r="M149" s="1037"/>
      <c r="N149" s="1037"/>
      <c r="O149" s="1037">
        <v>6000</v>
      </c>
      <c r="P149" s="1037"/>
      <c r="Q149" s="1037"/>
      <c r="R149" s="1038"/>
      <c r="S149" s="1039"/>
      <c r="T149" s="1032"/>
      <c r="U149" s="1032"/>
      <c r="V149" s="1032"/>
      <c r="W149" s="1032"/>
      <c r="X149" s="1032"/>
    </row>
    <row r="150" spans="1:24" ht="21" customHeight="1">
      <c r="A150" s="1033" t="s">
        <v>317</v>
      </c>
      <c r="B150" s="1034" t="s">
        <v>374</v>
      </c>
      <c r="C150" s="1035" t="s">
        <v>377</v>
      </c>
      <c r="D150" s="1041" t="s">
        <v>4</v>
      </c>
      <c r="E150" s="1036"/>
      <c r="F150" s="1036">
        <f t="shared" si="1"/>
        <v>184362</v>
      </c>
      <c r="G150" s="1042"/>
      <c r="H150" s="1042"/>
      <c r="I150" s="1042">
        <v>16535</v>
      </c>
      <c r="J150" s="1042">
        <v>142382</v>
      </c>
      <c r="K150" s="1042"/>
      <c r="L150" s="1042"/>
      <c r="M150" s="1042">
        <v>3445</v>
      </c>
      <c r="N150" s="1042">
        <v>22000</v>
      </c>
      <c r="O150" s="1044"/>
      <c r="P150" s="1042"/>
      <c r="Q150" s="1042"/>
      <c r="R150" s="1038"/>
      <c r="S150" s="1039"/>
      <c r="T150" s="1032"/>
      <c r="U150" s="1032"/>
      <c r="V150" s="1032"/>
      <c r="W150" s="1032"/>
      <c r="X150" s="1032"/>
    </row>
    <row r="151" spans="1:24" ht="21" customHeight="1" hidden="1">
      <c r="A151" s="1033"/>
      <c r="B151" s="1034"/>
      <c r="C151" s="1035"/>
      <c r="D151" s="1057" t="s">
        <v>668</v>
      </c>
      <c r="E151" s="1036"/>
      <c r="F151" s="1036">
        <f t="shared" si="1"/>
        <v>184308</v>
      </c>
      <c r="G151" s="1042"/>
      <c r="H151" s="1042"/>
      <c r="I151" s="1042">
        <v>7091</v>
      </c>
      <c r="J151" s="1042">
        <v>151772</v>
      </c>
      <c r="K151" s="1042"/>
      <c r="L151" s="1042"/>
      <c r="M151" s="1042">
        <v>3445</v>
      </c>
      <c r="N151" s="1042">
        <v>22000</v>
      </c>
      <c r="O151" s="1044"/>
      <c r="P151" s="1042"/>
      <c r="Q151" s="1042"/>
      <c r="R151" s="1038"/>
      <c r="S151" s="1039"/>
      <c r="T151" s="1032"/>
      <c r="U151" s="1032"/>
      <c r="V151" s="1032"/>
      <c r="W151" s="1032"/>
      <c r="X151" s="1032"/>
    </row>
    <row r="152" spans="1:24" ht="21" customHeight="1">
      <c r="A152" s="1033"/>
      <c r="B152" s="1034"/>
      <c r="C152" s="1035"/>
      <c r="D152" s="1057" t="s">
        <v>733</v>
      </c>
      <c r="E152" s="1036"/>
      <c r="F152" s="1036">
        <f t="shared" si="1"/>
        <v>179308</v>
      </c>
      <c r="G152" s="1042"/>
      <c r="H152" s="1042"/>
      <c r="I152" s="1042">
        <f>I151-2000</f>
        <v>5091</v>
      </c>
      <c r="J152" s="1042">
        <v>151772</v>
      </c>
      <c r="K152" s="1042"/>
      <c r="L152" s="1042"/>
      <c r="M152" s="1042">
        <f>M151-3000</f>
        <v>445</v>
      </c>
      <c r="N152" s="1042">
        <v>22000</v>
      </c>
      <c r="O152" s="1044"/>
      <c r="P152" s="1042"/>
      <c r="Q152" s="1042"/>
      <c r="R152" s="1038"/>
      <c r="S152" s="1039"/>
      <c r="T152" s="1032"/>
      <c r="U152" s="1032"/>
      <c r="V152" s="1032"/>
      <c r="W152" s="1032"/>
      <c r="X152" s="1032"/>
    </row>
    <row r="153" spans="1:24" ht="21" customHeight="1">
      <c r="A153" s="1033"/>
      <c r="B153" s="1034"/>
      <c r="C153" s="1035"/>
      <c r="D153" s="1057" t="s">
        <v>799</v>
      </c>
      <c r="E153" s="1036"/>
      <c r="F153" s="1036">
        <f t="shared" si="1"/>
        <v>179308</v>
      </c>
      <c r="G153" s="1042"/>
      <c r="H153" s="1042"/>
      <c r="I153" s="1042">
        <v>5091</v>
      </c>
      <c r="J153" s="1042">
        <v>151772</v>
      </c>
      <c r="K153" s="1042"/>
      <c r="L153" s="1042"/>
      <c r="M153" s="1042">
        <v>445</v>
      </c>
      <c r="N153" s="1042">
        <v>22000</v>
      </c>
      <c r="O153" s="1044"/>
      <c r="P153" s="1042"/>
      <c r="Q153" s="1042"/>
      <c r="R153" s="1038"/>
      <c r="S153" s="1039"/>
      <c r="T153" s="1032"/>
      <c r="U153" s="1032"/>
      <c r="V153" s="1032"/>
      <c r="W153" s="1032"/>
      <c r="X153" s="1032"/>
    </row>
    <row r="154" spans="1:24" ht="21" customHeight="1">
      <c r="A154" s="1033" t="s">
        <v>320</v>
      </c>
      <c r="B154" s="1034" t="s">
        <v>378</v>
      </c>
      <c r="C154" s="1035" t="s">
        <v>250</v>
      </c>
      <c r="D154" s="1041" t="s">
        <v>4</v>
      </c>
      <c r="E154" s="1036"/>
      <c r="F154" s="1036">
        <f t="shared" si="1"/>
        <v>0</v>
      </c>
      <c r="G154" s="1042"/>
      <c r="H154" s="1042"/>
      <c r="I154" s="1042"/>
      <c r="J154" s="1042"/>
      <c r="K154" s="1042"/>
      <c r="L154" s="1042"/>
      <c r="M154" s="1042"/>
      <c r="N154" s="1042"/>
      <c r="O154" s="1044"/>
      <c r="P154" s="1042"/>
      <c r="Q154" s="1042"/>
      <c r="R154" s="1038"/>
      <c r="S154" s="1039"/>
      <c r="T154" s="1032"/>
      <c r="U154" s="1032"/>
      <c r="V154" s="1032"/>
      <c r="W154" s="1032"/>
      <c r="X154" s="1032"/>
    </row>
    <row r="155" spans="1:24" ht="21" customHeight="1" hidden="1">
      <c r="A155" s="1033"/>
      <c r="B155" s="1034"/>
      <c r="C155" s="1035"/>
      <c r="D155" s="1057" t="s">
        <v>668</v>
      </c>
      <c r="E155" s="1036"/>
      <c r="F155" s="1036">
        <f t="shared" si="1"/>
        <v>0</v>
      </c>
      <c r="G155" s="1042"/>
      <c r="H155" s="1042"/>
      <c r="I155" s="1042"/>
      <c r="J155" s="1042"/>
      <c r="K155" s="1042"/>
      <c r="L155" s="1042"/>
      <c r="M155" s="1042"/>
      <c r="N155" s="1042"/>
      <c r="O155" s="1044"/>
      <c r="P155" s="1042"/>
      <c r="Q155" s="1042"/>
      <c r="R155" s="1038"/>
      <c r="S155" s="1039"/>
      <c r="T155" s="1032"/>
      <c r="U155" s="1032"/>
      <c r="V155" s="1032"/>
      <c r="W155" s="1032"/>
      <c r="X155" s="1032"/>
    </row>
    <row r="156" spans="1:24" ht="21" customHeight="1">
      <c r="A156" s="1033"/>
      <c r="B156" s="1034"/>
      <c r="C156" s="1035"/>
      <c r="D156" s="1057" t="s">
        <v>733</v>
      </c>
      <c r="E156" s="1036"/>
      <c r="F156" s="1036">
        <f t="shared" si="1"/>
        <v>0</v>
      </c>
      <c r="G156" s="1042"/>
      <c r="H156" s="1042"/>
      <c r="I156" s="1042"/>
      <c r="J156" s="1042"/>
      <c r="K156" s="1042"/>
      <c r="L156" s="1042"/>
      <c r="M156" s="1042"/>
      <c r="N156" s="1042"/>
      <c r="O156" s="1044"/>
      <c r="P156" s="1042"/>
      <c r="Q156" s="1042"/>
      <c r="R156" s="1038"/>
      <c r="S156" s="1039"/>
      <c r="T156" s="1032"/>
      <c r="U156" s="1032"/>
      <c r="V156" s="1032"/>
      <c r="W156" s="1032"/>
      <c r="X156" s="1032"/>
    </row>
    <row r="157" spans="1:24" ht="21" customHeight="1">
      <c r="A157" s="1033"/>
      <c r="B157" s="1034"/>
      <c r="C157" s="1035"/>
      <c r="D157" s="1057" t="s">
        <v>799</v>
      </c>
      <c r="E157" s="1036"/>
      <c r="F157" s="1036">
        <v>0</v>
      </c>
      <c r="G157" s="1042"/>
      <c r="H157" s="1042"/>
      <c r="I157" s="1042"/>
      <c r="J157" s="1042"/>
      <c r="K157" s="1042"/>
      <c r="L157" s="1042"/>
      <c r="M157" s="1042"/>
      <c r="N157" s="1042"/>
      <c r="O157" s="1044"/>
      <c r="P157" s="1042"/>
      <c r="Q157" s="1042"/>
      <c r="R157" s="1038"/>
      <c r="S157" s="1039"/>
      <c r="T157" s="1032"/>
      <c r="U157" s="1032"/>
      <c r="V157" s="1032"/>
      <c r="W157" s="1032"/>
      <c r="X157" s="1032"/>
    </row>
    <row r="158" spans="1:24" ht="21" customHeight="1">
      <c r="A158" s="1033" t="s">
        <v>320</v>
      </c>
      <c r="B158" s="1034" t="s">
        <v>379</v>
      </c>
      <c r="C158" s="1035" t="s">
        <v>380</v>
      </c>
      <c r="D158" s="1041" t="s">
        <v>4</v>
      </c>
      <c r="E158" s="1036">
        <v>215</v>
      </c>
      <c r="F158" s="1036">
        <f t="shared" si="1"/>
        <v>11129</v>
      </c>
      <c r="G158" s="1042">
        <v>5500</v>
      </c>
      <c r="H158" s="1042">
        <v>2814</v>
      </c>
      <c r="I158" s="1042">
        <v>2815</v>
      </c>
      <c r="J158" s="1042"/>
      <c r="K158" s="1042"/>
      <c r="L158" s="1042"/>
      <c r="M158" s="1042"/>
      <c r="N158" s="1042"/>
      <c r="O158" s="1042"/>
      <c r="P158" s="1042"/>
      <c r="Q158" s="1042"/>
      <c r="R158" s="1038"/>
      <c r="S158" s="1039"/>
      <c r="T158" s="1032"/>
      <c r="U158" s="1032"/>
      <c r="V158" s="1032"/>
      <c r="W158" s="1032"/>
      <c r="X158" s="1032"/>
    </row>
    <row r="159" spans="1:24" ht="21" customHeight="1" hidden="1">
      <c r="A159" s="1033"/>
      <c r="B159" s="1034"/>
      <c r="C159" s="1035"/>
      <c r="D159" s="1057" t="s">
        <v>668</v>
      </c>
      <c r="E159" s="1036">
        <v>215</v>
      </c>
      <c r="F159" s="1036">
        <f t="shared" si="1"/>
        <v>11273</v>
      </c>
      <c r="G159" s="1042">
        <v>5530</v>
      </c>
      <c r="H159" s="1042">
        <v>2814</v>
      </c>
      <c r="I159" s="1042">
        <v>2929</v>
      </c>
      <c r="J159" s="1042"/>
      <c r="K159" s="1042"/>
      <c r="L159" s="1042"/>
      <c r="M159" s="1042"/>
      <c r="N159" s="1042"/>
      <c r="O159" s="1042"/>
      <c r="P159" s="1042"/>
      <c r="Q159" s="1042"/>
      <c r="R159" s="1038"/>
      <c r="S159" s="1039"/>
      <c r="T159" s="1032"/>
      <c r="U159" s="1032"/>
      <c r="V159" s="1032"/>
      <c r="W159" s="1032"/>
      <c r="X159" s="1032"/>
    </row>
    <row r="160" spans="1:24" ht="21" customHeight="1">
      <c r="A160" s="1033"/>
      <c r="B160" s="1034"/>
      <c r="C160" s="1035"/>
      <c r="D160" s="1057" t="s">
        <v>733</v>
      </c>
      <c r="E160" s="1036">
        <v>215</v>
      </c>
      <c r="F160" s="1036">
        <f t="shared" si="1"/>
        <v>11430</v>
      </c>
      <c r="G160" s="1042">
        <f>G159+202</f>
        <v>5732</v>
      </c>
      <c r="H160" s="1042">
        <v>2814</v>
      </c>
      <c r="I160" s="1042">
        <f>I159-45</f>
        <v>2884</v>
      </c>
      <c r="J160" s="1042"/>
      <c r="K160" s="1042"/>
      <c r="L160" s="1042"/>
      <c r="M160" s="1042"/>
      <c r="N160" s="1042"/>
      <c r="O160" s="1042"/>
      <c r="P160" s="1042"/>
      <c r="Q160" s="1042"/>
      <c r="R160" s="1038"/>
      <c r="S160" s="1039"/>
      <c r="T160" s="1032"/>
      <c r="U160" s="1032"/>
      <c r="V160" s="1032"/>
      <c r="W160" s="1032"/>
      <c r="X160" s="1032"/>
    </row>
    <row r="161" spans="1:24" ht="21" customHeight="1">
      <c r="A161" s="1033"/>
      <c r="B161" s="1034"/>
      <c r="C161" s="1035"/>
      <c r="D161" s="1057" t="s">
        <v>799</v>
      </c>
      <c r="E161" s="1036">
        <v>215</v>
      </c>
      <c r="F161" s="1036">
        <f t="shared" si="1"/>
        <v>12040</v>
      </c>
      <c r="G161" s="1042">
        <v>5758</v>
      </c>
      <c r="H161" s="1042">
        <v>2814</v>
      </c>
      <c r="I161" s="1042">
        <v>3468</v>
      </c>
      <c r="J161" s="1042"/>
      <c r="K161" s="1042"/>
      <c r="L161" s="1042"/>
      <c r="M161" s="1042"/>
      <c r="N161" s="1042"/>
      <c r="O161" s="1042"/>
      <c r="P161" s="1042"/>
      <c r="Q161" s="1042"/>
      <c r="R161" s="1038"/>
      <c r="S161" s="1039"/>
      <c r="T161" s="1032"/>
      <c r="U161" s="1032"/>
      <c r="V161" s="1032"/>
      <c r="W161" s="1032"/>
      <c r="X161" s="1032"/>
    </row>
    <row r="162" spans="1:24" ht="21" customHeight="1">
      <c r="A162" s="1033" t="s">
        <v>320</v>
      </c>
      <c r="B162" s="1034" t="s">
        <v>381</v>
      </c>
      <c r="C162" s="1035" t="s">
        <v>382</v>
      </c>
      <c r="D162" s="1041" t="s">
        <v>4</v>
      </c>
      <c r="E162" s="1036"/>
      <c r="F162" s="1036">
        <f t="shared" si="1"/>
        <v>1651</v>
      </c>
      <c r="G162" s="1042"/>
      <c r="H162" s="1042"/>
      <c r="I162" s="1042">
        <v>1651</v>
      </c>
      <c r="J162" s="1042"/>
      <c r="K162" s="1042"/>
      <c r="L162" s="1042"/>
      <c r="M162" s="1042"/>
      <c r="N162" s="1042"/>
      <c r="O162" s="1044"/>
      <c r="P162" s="1042"/>
      <c r="Q162" s="1042"/>
      <c r="R162" s="1038"/>
      <c r="S162" s="1039"/>
      <c r="T162" s="1032"/>
      <c r="U162" s="1032"/>
      <c r="V162" s="1032"/>
      <c r="W162" s="1032"/>
      <c r="X162" s="1032"/>
    </row>
    <row r="163" spans="1:24" ht="21" customHeight="1" hidden="1">
      <c r="A163" s="1033"/>
      <c r="B163" s="1034"/>
      <c r="C163" s="1035"/>
      <c r="D163" s="1057" t="s">
        <v>668</v>
      </c>
      <c r="E163" s="1036"/>
      <c r="F163" s="1036">
        <f t="shared" si="1"/>
        <v>1651</v>
      </c>
      <c r="G163" s="1042"/>
      <c r="H163" s="1042"/>
      <c r="I163" s="1042">
        <v>381</v>
      </c>
      <c r="J163" s="1042">
        <v>1270</v>
      </c>
      <c r="K163" s="1042"/>
      <c r="L163" s="1042"/>
      <c r="M163" s="1042"/>
      <c r="N163" s="1042"/>
      <c r="O163" s="1044"/>
      <c r="P163" s="1042"/>
      <c r="Q163" s="1042"/>
      <c r="R163" s="1038"/>
      <c r="S163" s="1039"/>
      <c r="T163" s="1032"/>
      <c r="U163" s="1032"/>
      <c r="V163" s="1032"/>
      <c r="W163" s="1032"/>
      <c r="X163" s="1032"/>
    </row>
    <row r="164" spans="1:24" ht="21" customHeight="1">
      <c r="A164" s="1033"/>
      <c r="B164" s="1034"/>
      <c r="C164" s="1035"/>
      <c r="D164" s="1057" t="s">
        <v>733</v>
      </c>
      <c r="E164" s="1036"/>
      <c r="F164" s="1036">
        <f t="shared" si="1"/>
        <v>1929</v>
      </c>
      <c r="G164" s="1042"/>
      <c r="H164" s="1042"/>
      <c r="I164" s="1042">
        <f>I163+278</f>
        <v>659</v>
      </c>
      <c r="J164" s="1042">
        <v>1270</v>
      </c>
      <c r="K164" s="1042"/>
      <c r="L164" s="1042"/>
      <c r="M164" s="1042"/>
      <c r="N164" s="1042"/>
      <c r="O164" s="1044"/>
      <c r="P164" s="1042"/>
      <c r="Q164" s="1042"/>
      <c r="R164" s="1038"/>
      <c r="S164" s="1039"/>
      <c r="T164" s="1032"/>
      <c r="U164" s="1032"/>
      <c r="V164" s="1032"/>
      <c r="W164" s="1032"/>
      <c r="X164" s="1032"/>
    </row>
    <row r="165" spans="1:24" ht="21" customHeight="1">
      <c r="A165" s="1033"/>
      <c r="B165" s="1034"/>
      <c r="C165" s="1035"/>
      <c r="D165" s="1057" t="s">
        <v>799</v>
      </c>
      <c r="E165" s="1036"/>
      <c r="F165" s="1036">
        <f t="shared" si="1"/>
        <v>1651</v>
      </c>
      <c r="G165" s="1042"/>
      <c r="H165" s="1042"/>
      <c r="I165" s="1042">
        <v>381</v>
      </c>
      <c r="J165" s="1042">
        <v>1270</v>
      </c>
      <c r="K165" s="1042"/>
      <c r="L165" s="1042"/>
      <c r="M165" s="1042"/>
      <c r="N165" s="1042"/>
      <c r="O165" s="1044"/>
      <c r="P165" s="1042"/>
      <c r="Q165" s="1042"/>
      <c r="R165" s="1038"/>
      <c r="S165" s="1039"/>
      <c r="T165" s="1032"/>
      <c r="U165" s="1032"/>
      <c r="V165" s="1032"/>
      <c r="W165" s="1032"/>
      <c r="X165" s="1032"/>
    </row>
    <row r="166" spans="1:24" ht="21" customHeight="1">
      <c r="A166" s="1033" t="s">
        <v>317</v>
      </c>
      <c r="B166" s="1034" t="s">
        <v>383</v>
      </c>
      <c r="C166" s="1035" t="s">
        <v>384</v>
      </c>
      <c r="D166" s="1041" t="s">
        <v>4</v>
      </c>
      <c r="E166" s="1036"/>
      <c r="F166" s="1036">
        <f t="shared" si="1"/>
        <v>115170</v>
      </c>
      <c r="G166" s="1042"/>
      <c r="H166" s="1042"/>
      <c r="I166" s="1042">
        <v>1425</v>
      </c>
      <c r="J166" s="1042">
        <v>113745</v>
      </c>
      <c r="K166" s="1042"/>
      <c r="L166" s="1042"/>
      <c r="M166" s="1042"/>
      <c r="N166" s="1042"/>
      <c r="O166" s="1042"/>
      <c r="P166" s="1042"/>
      <c r="Q166" s="1042"/>
      <c r="R166" s="1038"/>
      <c r="S166" s="1039"/>
      <c r="T166" s="1032"/>
      <c r="U166" s="1032"/>
      <c r="V166" s="1032"/>
      <c r="W166" s="1032"/>
      <c r="X166" s="1032"/>
    </row>
    <row r="167" spans="1:24" ht="21" customHeight="1" hidden="1">
      <c r="A167" s="1033"/>
      <c r="B167" s="1034"/>
      <c r="C167" s="1035"/>
      <c r="D167" s="1057" t="s">
        <v>668</v>
      </c>
      <c r="E167" s="1036"/>
      <c r="F167" s="1036">
        <f t="shared" si="1"/>
        <v>124757</v>
      </c>
      <c r="G167" s="1042"/>
      <c r="H167" s="1042"/>
      <c r="I167" s="1042">
        <v>1825</v>
      </c>
      <c r="J167" s="1042">
        <v>121932</v>
      </c>
      <c r="K167" s="1042"/>
      <c r="L167" s="1042"/>
      <c r="M167" s="1042"/>
      <c r="N167" s="1042">
        <v>1000</v>
      </c>
      <c r="O167" s="1042"/>
      <c r="P167" s="1042"/>
      <c r="Q167" s="1042"/>
      <c r="R167" s="1038"/>
      <c r="S167" s="1039"/>
      <c r="T167" s="1032"/>
      <c r="U167" s="1032"/>
      <c r="V167" s="1032"/>
      <c r="W167" s="1032"/>
      <c r="X167" s="1032"/>
    </row>
    <row r="168" spans="1:24" ht="21" customHeight="1">
      <c r="A168" s="1033"/>
      <c r="B168" s="1034"/>
      <c r="C168" s="1035"/>
      <c r="D168" s="1057" t="s">
        <v>733</v>
      </c>
      <c r="E168" s="1036">
        <v>69</v>
      </c>
      <c r="F168" s="1036">
        <f t="shared" si="1"/>
        <v>130165</v>
      </c>
      <c r="G168" s="1042">
        <v>1536</v>
      </c>
      <c r="H168" s="1042"/>
      <c r="I168" s="1042">
        <f>I167+33</f>
        <v>1858</v>
      </c>
      <c r="J168" s="1042">
        <f>J167+300</f>
        <v>122232</v>
      </c>
      <c r="K168" s="1042"/>
      <c r="L168" s="1042"/>
      <c r="M168" s="1042"/>
      <c r="N168" s="1042">
        <f>N167+345</f>
        <v>1345</v>
      </c>
      <c r="O168" s="1042">
        <v>3194</v>
      </c>
      <c r="P168" s="1042"/>
      <c r="Q168" s="1042"/>
      <c r="R168" s="1038"/>
      <c r="S168" s="1039"/>
      <c r="T168" s="1032"/>
      <c r="U168" s="1032"/>
      <c r="V168" s="1032"/>
      <c r="W168" s="1032"/>
      <c r="X168" s="1032"/>
    </row>
    <row r="169" spans="1:24" ht="21" customHeight="1">
      <c r="A169" s="1033"/>
      <c r="B169" s="1034"/>
      <c r="C169" s="1035"/>
      <c r="D169" s="1057" t="s">
        <v>799</v>
      </c>
      <c r="E169" s="1036">
        <v>69</v>
      </c>
      <c r="F169" s="1036">
        <f t="shared" si="1"/>
        <v>138325</v>
      </c>
      <c r="G169" s="1042">
        <v>1536</v>
      </c>
      <c r="H169" s="1042"/>
      <c r="I169" s="1042">
        <v>2018</v>
      </c>
      <c r="J169" s="1042">
        <v>130232</v>
      </c>
      <c r="K169" s="1042"/>
      <c r="L169" s="1042"/>
      <c r="M169" s="1042"/>
      <c r="N169" s="1042">
        <v>1345</v>
      </c>
      <c r="O169" s="1042">
        <v>3194</v>
      </c>
      <c r="P169" s="1042"/>
      <c r="Q169" s="1042"/>
      <c r="R169" s="1038"/>
      <c r="S169" s="1039"/>
      <c r="T169" s="1032"/>
      <c r="U169" s="1032"/>
      <c r="V169" s="1032"/>
      <c r="W169" s="1032"/>
      <c r="X169" s="1032"/>
    </row>
    <row r="170" spans="1:24" ht="21" customHeight="1">
      <c r="A170" s="1033" t="s">
        <v>320</v>
      </c>
      <c r="B170" s="1034" t="s">
        <v>385</v>
      </c>
      <c r="C170" s="1035" t="s">
        <v>386</v>
      </c>
      <c r="D170" s="1041" t="s">
        <v>4</v>
      </c>
      <c r="E170" s="1036"/>
      <c r="F170" s="1036">
        <f t="shared" si="1"/>
        <v>1800</v>
      </c>
      <c r="G170" s="1037"/>
      <c r="H170" s="1037"/>
      <c r="I170" s="1037">
        <v>1800</v>
      </c>
      <c r="J170" s="1037"/>
      <c r="K170" s="1036"/>
      <c r="L170" s="1036"/>
      <c r="M170" s="1037"/>
      <c r="N170" s="1037"/>
      <c r="O170" s="1037"/>
      <c r="P170" s="1037"/>
      <c r="Q170" s="1037"/>
      <c r="R170" s="1038"/>
      <c r="S170" s="1039"/>
      <c r="T170" s="1032"/>
      <c r="U170" s="1032"/>
      <c r="V170" s="1032"/>
      <c r="W170" s="1032"/>
      <c r="X170" s="1032"/>
    </row>
    <row r="171" spans="1:24" ht="21" customHeight="1" hidden="1">
      <c r="A171" s="1033"/>
      <c r="B171" s="1034"/>
      <c r="C171" s="1035"/>
      <c r="D171" s="1057" t="s">
        <v>668</v>
      </c>
      <c r="E171" s="1036"/>
      <c r="F171" s="1036">
        <f t="shared" si="1"/>
        <v>1800</v>
      </c>
      <c r="G171" s="1037"/>
      <c r="H171" s="1037"/>
      <c r="I171" s="1037">
        <v>1800</v>
      </c>
      <c r="J171" s="1037"/>
      <c r="K171" s="1036"/>
      <c r="L171" s="1036"/>
      <c r="M171" s="1037"/>
      <c r="N171" s="1037"/>
      <c r="O171" s="1037"/>
      <c r="P171" s="1037"/>
      <c r="Q171" s="1037"/>
      <c r="R171" s="1038"/>
      <c r="S171" s="1039"/>
      <c r="T171" s="1032"/>
      <c r="U171" s="1032"/>
      <c r="V171" s="1032"/>
      <c r="W171" s="1032"/>
      <c r="X171" s="1032"/>
    </row>
    <row r="172" spans="1:24" ht="21" customHeight="1">
      <c r="A172" s="1033"/>
      <c r="B172" s="1034"/>
      <c r="C172" s="1035"/>
      <c r="D172" s="1057" t="s">
        <v>733</v>
      </c>
      <c r="E172" s="1036">
        <v>116</v>
      </c>
      <c r="F172" s="1036">
        <f t="shared" si="1"/>
        <v>1916</v>
      </c>
      <c r="G172" s="1037"/>
      <c r="H172" s="1037"/>
      <c r="I172" s="1037">
        <f>I171+116</f>
        <v>1916</v>
      </c>
      <c r="J172" s="1037"/>
      <c r="K172" s="1036"/>
      <c r="L172" s="1036"/>
      <c r="M172" s="1037"/>
      <c r="N172" s="1037"/>
      <c r="O172" s="1037"/>
      <c r="P172" s="1037"/>
      <c r="Q172" s="1037"/>
      <c r="R172" s="1038"/>
      <c r="S172" s="1039"/>
      <c r="T172" s="1032"/>
      <c r="U172" s="1032"/>
      <c r="V172" s="1032"/>
      <c r="W172" s="1032"/>
      <c r="X172" s="1032"/>
    </row>
    <row r="173" spans="1:24" ht="21" customHeight="1">
      <c r="A173" s="1033"/>
      <c r="B173" s="1034"/>
      <c r="C173" s="1035"/>
      <c r="D173" s="1057" t="s">
        <v>799</v>
      </c>
      <c r="E173" s="1036">
        <v>116</v>
      </c>
      <c r="F173" s="1036">
        <f t="shared" si="1"/>
        <v>1916</v>
      </c>
      <c r="G173" s="1037"/>
      <c r="H173" s="1037"/>
      <c r="I173" s="1037">
        <v>1916</v>
      </c>
      <c r="J173" s="1037"/>
      <c r="K173" s="1036"/>
      <c r="L173" s="1036"/>
      <c r="M173" s="1037"/>
      <c r="N173" s="1037"/>
      <c r="O173" s="1037"/>
      <c r="P173" s="1037"/>
      <c r="Q173" s="1037"/>
      <c r="R173" s="1038"/>
      <c r="S173" s="1039"/>
      <c r="T173" s="1032"/>
      <c r="U173" s="1032"/>
      <c r="V173" s="1032"/>
      <c r="W173" s="1032"/>
      <c r="X173" s="1032"/>
    </row>
    <row r="174" spans="1:24" ht="21" customHeight="1">
      <c r="A174" s="1033" t="s">
        <v>320</v>
      </c>
      <c r="B174" s="1045" t="s">
        <v>387</v>
      </c>
      <c r="C174" s="1046" t="s">
        <v>388</v>
      </c>
      <c r="D174" s="1041" t="s">
        <v>4</v>
      </c>
      <c r="E174" s="1036"/>
      <c r="F174" s="1036">
        <f t="shared" si="1"/>
        <v>25825</v>
      </c>
      <c r="G174" s="1042">
        <v>3360</v>
      </c>
      <c r="H174" s="1042">
        <v>907</v>
      </c>
      <c r="I174" s="1042">
        <v>21558</v>
      </c>
      <c r="J174" s="1042"/>
      <c r="K174" s="1042"/>
      <c r="L174" s="1042"/>
      <c r="M174" s="1042"/>
      <c r="N174" s="1042"/>
      <c r="O174" s="1042"/>
      <c r="P174" s="1042"/>
      <c r="Q174" s="1042"/>
      <c r="R174" s="1038"/>
      <c r="S174" s="1039"/>
      <c r="T174" s="1032"/>
      <c r="U174" s="1032"/>
      <c r="V174" s="1032"/>
      <c r="W174" s="1032"/>
      <c r="X174" s="1032"/>
    </row>
    <row r="175" spans="1:24" ht="21" customHeight="1" hidden="1">
      <c r="A175" s="1033"/>
      <c r="B175" s="1045"/>
      <c r="C175" s="1046"/>
      <c r="D175" s="1057" t="s">
        <v>668</v>
      </c>
      <c r="E175" s="1036"/>
      <c r="F175" s="1036">
        <f t="shared" si="1"/>
        <v>25825</v>
      </c>
      <c r="G175" s="1042">
        <v>3360</v>
      </c>
      <c r="H175" s="1042">
        <v>907</v>
      </c>
      <c r="I175" s="1042">
        <v>21558</v>
      </c>
      <c r="J175" s="1042"/>
      <c r="K175" s="1042"/>
      <c r="L175" s="1042"/>
      <c r="M175" s="1042"/>
      <c r="N175" s="1042"/>
      <c r="O175" s="1042"/>
      <c r="P175" s="1042"/>
      <c r="Q175" s="1042"/>
      <c r="R175" s="1038"/>
      <c r="S175" s="1039"/>
      <c r="T175" s="1032"/>
      <c r="U175" s="1032"/>
      <c r="V175" s="1032"/>
      <c r="W175" s="1032"/>
      <c r="X175" s="1032"/>
    </row>
    <row r="176" spans="1:24" ht="21" customHeight="1">
      <c r="A176" s="1033"/>
      <c r="B176" s="1045"/>
      <c r="C176" s="1046"/>
      <c r="D176" s="1057" t="s">
        <v>733</v>
      </c>
      <c r="E176" s="1036"/>
      <c r="F176" s="1036">
        <f>SUM(G176:R176)</f>
        <v>25825</v>
      </c>
      <c r="G176" s="1042">
        <v>3360</v>
      </c>
      <c r="H176" s="1042">
        <v>907</v>
      </c>
      <c r="I176" s="1042">
        <v>21558</v>
      </c>
      <c r="J176" s="1042"/>
      <c r="K176" s="1042"/>
      <c r="L176" s="1042"/>
      <c r="M176" s="1042"/>
      <c r="N176" s="1042"/>
      <c r="O176" s="1042"/>
      <c r="P176" s="1042"/>
      <c r="Q176" s="1042"/>
      <c r="R176" s="1038"/>
      <c r="S176" s="1039"/>
      <c r="T176" s="1032"/>
      <c r="U176" s="1032"/>
      <c r="V176" s="1032"/>
      <c r="W176" s="1032"/>
      <c r="X176" s="1032"/>
    </row>
    <row r="177" spans="1:24" ht="21" customHeight="1">
      <c r="A177" s="1033"/>
      <c r="B177" s="1045"/>
      <c r="C177" s="1046"/>
      <c r="D177" s="1057" t="s">
        <v>799</v>
      </c>
      <c r="E177" s="1036"/>
      <c r="F177" s="1036">
        <f>SUM(G177:R177)</f>
        <v>23905</v>
      </c>
      <c r="G177" s="1042">
        <v>3360</v>
      </c>
      <c r="H177" s="1042">
        <v>907</v>
      </c>
      <c r="I177" s="1042">
        <v>19638</v>
      </c>
      <c r="J177" s="1042"/>
      <c r="K177" s="1042"/>
      <c r="L177" s="1042"/>
      <c r="M177" s="1042"/>
      <c r="N177" s="1042"/>
      <c r="O177" s="1042"/>
      <c r="P177" s="1042"/>
      <c r="Q177" s="1042"/>
      <c r="R177" s="1038"/>
      <c r="S177" s="1039"/>
      <c r="T177" s="1032"/>
      <c r="U177" s="1032"/>
      <c r="V177" s="1032"/>
      <c r="W177" s="1032"/>
      <c r="X177" s="1032"/>
    </row>
    <row r="178" spans="1:19" s="1032" customFormat="1" ht="21" customHeight="1">
      <c r="A178" s="1033" t="s">
        <v>320</v>
      </c>
      <c r="B178" s="1034" t="s">
        <v>389</v>
      </c>
      <c r="C178" s="1035" t="s">
        <v>390</v>
      </c>
      <c r="D178" s="1041" t="s">
        <v>4</v>
      </c>
      <c r="E178" s="1036">
        <v>24720</v>
      </c>
      <c r="F178" s="1036">
        <f>SUM(G178:R178)</f>
        <v>248778</v>
      </c>
      <c r="G178" s="1037"/>
      <c r="H178" s="1037"/>
      <c r="I178" s="1037"/>
      <c r="J178" s="1037">
        <v>200930</v>
      </c>
      <c r="K178" s="1037"/>
      <c r="L178" s="1037"/>
      <c r="M178" s="1037"/>
      <c r="N178" s="1037"/>
      <c r="O178" s="1037">
        <v>24128</v>
      </c>
      <c r="P178" s="1037"/>
      <c r="Q178" s="1037">
        <v>23720</v>
      </c>
      <c r="R178" s="1038"/>
      <c r="S178" s="1039"/>
    </row>
    <row r="179" spans="1:19" ht="21" customHeight="1" hidden="1">
      <c r="A179" s="1033"/>
      <c r="B179" s="1034"/>
      <c r="C179" s="1035"/>
      <c r="D179" s="1057" t="s">
        <v>668</v>
      </c>
      <c r="E179" s="1036">
        <v>24720</v>
      </c>
      <c r="F179" s="1036">
        <f>SUM(G179:R179)</f>
        <v>263003</v>
      </c>
      <c r="G179" s="1037"/>
      <c r="H179" s="1037"/>
      <c r="I179" s="1037"/>
      <c r="J179" s="1037">
        <v>223250</v>
      </c>
      <c r="K179" s="1037"/>
      <c r="L179" s="1037"/>
      <c r="M179" s="1037"/>
      <c r="N179" s="1037"/>
      <c r="O179" s="1037">
        <v>39753</v>
      </c>
      <c r="P179" s="1037"/>
      <c r="Q179" s="1037"/>
      <c r="R179" s="1038"/>
      <c r="S179" s="1039"/>
    </row>
    <row r="180" spans="1:19" ht="21" customHeight="1">
      <c r="A180" s="1033"/>
      <c r="B180" s="1034"/>
      <c r="C180" s="1035"/>
      <c r="D180" s="1057" t="s">
        <v>733</v>
      </c>
      <c r="E180" s="1036">
        <f>E179+15636</f>
        <v>40356</v>
      </c>
      <c r="F180" s="1036">
        <f>SUM(G180:R180)</f>
        <v>277144</v>
      </c>
      <c r="G180" s="1037"/>
      <c r="H180" s="1037"/>
      <c r="I180" s="1037"/>
      <c r="J180" s="1037">
        <f>J179-2795</f>
        <v>220455</v>
      </c>
      <c r="K180" s="1037"/>
      <c r="L180" s="1037"/>
      <c r="M180" s="1037"/>
      <c r="N180" s="1037"/>
      <c r="O180" s="1037">
        <f>O179+15636+1300</f>
        <v>56689</v>
      </c>
      <c r="P180" s="1037"/>
      <c r="Q180" s="1037"/>
      <c r="R180" s="1038"/>
      <c r="S180" s="1039"/>
    </row>
    <row r="181" spans="1:19" ht="21" customHeight="1">
      <c r="A181" s="1033"/>
      <c r="B181" s="1034"/>
      <c r="C181" s="1035"/>
      <c r="D181" s="1057" t="s">
        <v>799</v>
      </c>
      <c r="E181" s="1036">
        <v>40356</v>
      </c>
      <c r="F181" s="1036">
        <f aca="true" t="shared" si="2" ref="F181:F260">SUM(G181:R181)</f>
        <v>279021</v>
      </c>
      <c r="G181" s="1037">
        <v>286</v>
      </c>
      <c r="H181" s="1037">
        <v>146</v>
      </c>
      <c r="I181" s="1037">
        <v>50</v>
      </c>
      <c r="J181" s="1037">
        <v>217850</v>
      </c>
      <c r="K181" s="1037"/>
      <c r="L181" s="1037"/>
      <c r="M181" s="1037"/>
      <c r="N181" s="1037"/>
      <c r="O181" s="1037">
        <v>60689</v>
      </c>
      <c r="P181" s="1037"/>
      <c r="Q181" s="1037"/>
      <c r="R181" s="1038"/>
      <c r="S181" s="1039"/>
    </row>
    <row r="182" spans="1:24" ht="21" customHeight="1">
      <c r="A182" s="1033" t="s">
        <v>317</v>
      </c>
      <c r="B182" s="1034" t="s">
        <v>391</v>
      </c>
      <c r="C182" s="1035" t="s">
        <v>786</v>
      </c>
      <c r="D182" s="1041" t="s">
        <v>4</v>
      </c>
      <c r="E182" s="1036"/>
      <c r="F182" s="1036">
        <f t="shared" si="2"/>
        <v>2400</v>
      </c>
      <c r="G182" s="1042"/>
      <c r="H182" s="1042"/>
      <c r="I182" s="1042"/>
      <c r="J182" s="1042">
        <v>2400</v>
      </c>
      <c r="K182" s="1042"/>
      <c r="L182" s="1042"/>
      <c r="M182" s="1042"/>
      <c r="N182" s="1042"/>
      <c r="O182" s="1042"/>
      <c r="P182" s="1042"/>
      <c r="Q182" s="1042"/>
      <c r="R182" s="1038"/>
      <c r="S182" s="1039"/>
      <c r="T182" s="1032"/>
      <c r="U182" s="1032"/>
      <c r="V182" s="1032"/>
      <c r="W182" s="1032"/>
      <c r="X182" s="1032"/>
    </row>
    <row r="183" spans="1:24" ht="21" customHeight="1" hidden="1">
      <c r="A183" s="1033"/>
      <c r="B183" s="1034"/>
      <c r="C183" s="1035"/>
      <c r="D183" s="1057" t="s">
        <v>668</v>
      </c>
      <c r="E183" s="1036"/>
      <c r="F183" s="1036">
        <f t="shared" si="2"/>
        <v>2400</v>
      </c>
      <c r="G183" s="1042"/>
      <c r="H183" s="1042"/>
      <c r="I183" s="1042"/>
      <c r="J183" s="1042">
        <v>2400</v>
      </c>
      <c r="K183" s="1042"/>
      <c r="L183" s="1042"/>
      <c r="M183" s="1042"/>
      <c r="N183" s="1042"/>
      <c r="O183" s="1042"/>
      <c r="P183" s="1042"/>
      <c r="Q183" s="1042"/>
      <c r="R183" s="1038"/>
      <c r="S183" s="1039"/>
      <c r="T183" s="1032"/>
      <c r="U183" s="1032"/>
      <c r="V183" s="1032"/>
      <c r="W183" s="1032"/>
      <c r="X183" s="1032"/>
    </row>
    <row r="184" spans="1:24" ht="21" customHeight="1">
      <c r="A184" s="1033"/>
      <c r="B184" s="1034"/>
      <c r="C184" s="1035"/>
      <c r="D184" s="1057" t="s">
        <v>733</v>
      </c>
      <c r="E184" s="1036"/>
      <c r="F184" s="1036">
        <f t="shared" si="2"/>
        <v>2400</v>
      </c>
      <c r="G184" s="1042"/>
      <c r="H184" s="1042"/>
      <c r="I184" s="1042"/>
      <c r="J184" s="1042">
        <v>2400</v>
      </c>
      <c r="K184" s="1042"/>
      <c r="L184" s="1042"/>
      <c r="M184" s="1042"/>
      <c r="N184" s="1042"/>
      <c r="O184" s="1042"/>
      <c r="P184" s="1042"/>
      <c r="Q184" s="1042"/>
      <c r="R184" s="1038"/>
      <c r="S184" s="1039"/>
      <c r="T184" s="1032"/>
      <c r="U184" s="1032"/>
      <c r="V184" s="1032"/>
      <c r="W184" s="1032"/>
      <c r="X184" s="1032"/>
    </row>
    <row r="185" spans="1:24" ht="21" customHeight="1">
      <c r="A185" s="1033"/>
      <c r="B185" s="1034"/>
      <c r="C185" s="1035"/>
      <c r="D185" s="1057" t="s">
        <v>799</v>
      </c>
      <c r="E185" s="1036"/>
      <c r="F185" s="1036">
        <f t="shared" si="2"/>
        <v>2400</v>
      </c>
      <c r="G185" s="1042"/>
      <c r="H185" s="1042"/>
      <c r="I185" s="1042"/>
      <c r="J185" s="1042">
        <v>2400</v>
      </c>
      <c r="K185" s="1042"/>
      <c r="L185" s="1042"/>
      <c r="M185" s="1042"/>
      <c r="N185" s="1042"/>
      <c r="O185" s="1042"/>
      <c r="P185" s="1042"/>
      <c r="Q185" s="1042"/>
      <c r="R185" s="1038"/>
      <c r="S185" s="1039"/>
      <c r="T185" s="1032"/>
      <c r="U185" s="1032"/>
      <c r="V185" s="1032"/>
      <c r="W185" s="1032"/>
      <c r="X185" s="1032"/>
    </row>
    <row r="186" spans="1:24" ht="21" customHeight="1">
      <c r="A186" s="1033" t="s">
        <v>320</v>
      </c>
      <c r="B186" s="1034" t="s">
        <v>392</v>
      </c>
      <c r="C186" s="1043" t="s">
        <v>787</v>
      </c>
      <c r="D186" s="1041" t="s">
        <v>4</v>
      </c>
      <c r="E186" s="1036">
        <v>1815</v>
      </c>
      <c r="F186" s="1036">
        <f t="shared" si="2"/>
        <v>20298</v>
      </c>
      <c r="G186" s="1042">
        <v>3895</v>
      </c>
      <c r="H186" s="1042">
        <v>1993</v>
      </c>
      <c r="I186" s="1042">
        <v>5310</v>
      </c>
      <c r="J186" s="1042">
        <v>5100</v>
      </c>
      <c r="K186" s="1042">
        <v>4000</v>
      </c>
      <c r="L186" s="1042"/>
      <c r="M186" s="1042"/>
      <c r="N186" s="1042"/>
      <c r="O186" s="1042"/>
      <c r="P186" s="1042"/>
      <c r="Q186" s="1042"/>
      <c r="R186" s="1038"/>
      <c r="S186" s="1039"/>
      <c r="T186" s="1032"/>
      <c r="U186" s="1032"/>
      <c r="V186" s="1032"/>
      <c r="W186" s="1032"/>
      <c r="X186" s="1032"/>
    </row>
    <row r="187" spans="1:24" ht="21" customHeight="1" hidden="1">
      <c r="A187" s="1033"/>
      <c r="B187" s="1034"/>
      <c r="C187" s="1043"/>
      <c r="D187" s="1057" t="s">
        <v>668</v>
      </c>
      <c r="E187" s="1036">
        <v>1815</v>
      </c>
      <c r="F187" s="1036">
        <f t="shared" si="2"/>
        <v>20298</v>
      </c>
      <c r="G187" s="1042">
        <v>3895</v>
      </c>
      <c r="H187" s="1042">
        <v>1993</v>
      </c>
      <c r="I187" s="1042">
        <v>5310</v>
      </c>
      <c r="J187" s="1042">
        <v>5100</v>
      </c>
      <c r="K187" s="1042">
        <v>4000</v>
      </c>
      <c r="L187" s="1042"/>
      <c r="M187" s="1042"/>
      <c r="N187" s="1042"/>
      <c r="O187" s="1042"/>
      <c r="P187" s="1042"/>
      <c r="Q187" s="1042"/>
      <c r="R187" s="1038"/>
      <c r="S187" s="1039"/>
      <c r="T187" s="1032"/>
      <c r="U187" s="1032"/>
      <c r="V187" s="1032"/>
      <c r="W187" s="1032"/>
      <c r="X187" s="1032"/>
    </row>
    <row r="188" spans="1:24" ht="21" customHeight="1">
      <c r="A188" s="1033"/>
      <c r="B188" s="1034"/>
      <c r="C188" s="1043"/>
      <c r="D188" s="1057" t="s">
        <v>733</v>
      </c>
      <c r="E188" s="1036">
        <f>E187-685</f>
        <v>1130</v>
      </c>
      <c r="F188" s="1036">
        <f t="shared" si="2"/>
        <v>19817</v>
      </c>
      <c r="G188" s="1042">
        <f>G187+199</f>
        <v>4094</v>
      </c>
      <c r="H188" s="1042">
        <v>1993</v>
      </c>
      <c r="I188" s="1042">
        <f>I187-680</f>
        <v>4630</v>
      </c>
      <c r="J188" s="1042">
        <v>5100</v>
      </c>
      <c r="K188" s="1042">
        <v>4000</v>
      </c>
      <c r="L188" s="1042"/>
      <c r="M188" s="1042"/>
      <c r="N188" s="1042"/>
      <c r="O188" s="1042"/>
      <c r="P188" s="1042"/>
      <c r="Q188" s="1042"/>
      <c r="R188" s="1038"/>
      <c r="S188" s="1039"/>
      <c r="T188" s="1032"/>
      <c r="U188" s="1032"/>
      <c r="V188" s="1032"/>
      <c r="W188" s="1032"/>
      <c r="X188" s="1032"/>
    </row>
    <row r="189" spans="1:24" ht="21" customHeight="1">
      <c r="A189" s="1033"/>
      <c r="B189" s="1034"/>
      <c r="C189" s="1043"/>
      <c r="D189" s="1057" t="s">
        <v>799</v>
      </c>
      <c r="E189" s="1036">
        <v>1130</v>
      </c>
      <c r="F189" s="1036">
        <f t="shared" si="2"/>
        <v>19934</v>
      </c>
      <c r="G189" s="1042">
        <v>4244</v>
      </c>
      <c r="H189" s="1042">
        <v>1993</v>
      </c>
      <c r="I189" s="1042">
        <v>4597</v>
      </c>
      <c r="J189" s="1042">
        <v>5100</v>
      </c>
      <c r="K189" s="1042">
        <v>4000</v>
      </c>
      <c r="L189" s="1042"/>
      <c r="M189" s="1042"/>
      <c r="N189" s="1042"/>
      <c r="O189" s="1042"/>
      <c r="P189" s="1042"/>
      <c r="Q189" s="1042"/>
      <c r="R189" s="1038"/>
      <c r="S189" s="1039"/>
      <c r="T189" s="1032"/>
      <c r="U189" s="1032"/>
      <c r="V189" s="1032"/>
      <c r="W189" s="1032"/>
      <c r="X189" s="1032"/>
    </row>
    <row r="190" spans="1:24" ht="21" customHeight="1">
      <c r="A190" s="1033" t="s">
        <v>320</v>
      </c>
      <c r="B190" s="1034" t="s">
        <v>393</v>
      </c>
      <c r="C190" s="1035" t="s">
        <v>394</v>
      </c>
      <c r="D190" s="1041" t="s">
        <v>4</v>
      </c>
      <c r="E190" s="1036"/>
      <c r="F190" s="1036">
        <f t="shared" si="2"/>
        <v>27000</v>
      </c>
      <c r="G190" s="1042">
        <v>9000</v>
      </c>
      <c r="H190" s="1042">
        <v>5000</v>
      </c>
      <c r="I190" s="1042">
        <v>13000</v>
      </c>
      <c r="J190" s="1042"/>
      <c r="K190" s="1042"/>
      <c r="L190" s="1042"/>
      <c r="M190" s="1042"/>
      <c r="N190" s="1042"/>
      <c r="O190" s="1042"/>
      <c r="P190" s="1042"/>
      <c r="Q190" s="1042"/>
      <c r="R190" s="1038"/>
      <c r="S190" s="1039"/>
      <c r="T190" s="1032"/>
      <c r="U190" s="1032"/>
      <c r="V190" s="1032"/>
      <c r="W190" s="1032"/>
      <c r="X190" s="1032"/>
    </row>
    <row r="191" spans="1:24" ht="21" customHeight="1" hidden="1">
      <c r="A191" s="1033"/>
      <c r="B191" s="1034"/>
      <c r="C191" s="1035"/>
      <c r="D191" s="1057" t="s">
        <v>668</v>
      </c>
      <c r="E191" s="1036"/>
      <c r="F191" s="1036">
        <f t="shared" si="2"/>
        <v>27054</v>
      </c>
      <c r="G191" s="1042">
        <v>9000</v>
      </c>
      <c r="H191" s="1042">
        <v>5000</v>
      </c>
      <c r="I191" s="1042">
        <v>13000</v>
      </c>
      <c r="J191" s="1042"/>
      <c r="K191" s="1042"/>
      <c r="L191" s="1042"/>
      <c r="M191" s="1042"/>
      <c r="N191" s="1042">
        <v>54</v>
      </c>
      <c r="O191" s="1042"/>
      <c r="P191" s="1042"/>
      <c r="Q191" s="1042"/>
      <c r="R191" s="1038"/>
      <c r="S191" s="1039"/>
      <c r="T191" s="1032"/>
      <c r="U191" s="1032"/>
      <c r="V191" s="1032"/>
      <c r="W191" s="1032"/>
      <c r="X191" s="1032"/>
    </row>
    <row r="192" spans="1:24" ht="21" customHeight="1">
      <c r="A192" s="1033"/>
      <c r="B192" s="1034"/>
      <c r="C192" s="1035"/>
      <c r="D192" s="1057" t="s">
        <v>733</v>
      </c>
      <c r="E192" s="1036">
        <v>99</v>
      </c>
      <c r="F192" s="1036">
        <f t="shared" si="2"/>
        <v>27053</v>
      </c>
      <c r="G192" s="1042">
        <f>G191+1500</f>
        <v>10500</v>
      </c>
      <c r="H192" s="1042">
        <v>5000</v>
      </c>
      <c r="I192" s="1042">
        <f>I191-2001</f>
        <v>10999</v>
      </c>
      <c r="J192" s="1042">
        <v>500</v>
      </c>
      <c r="K192" s="1042"/>
      <c r="L192" s="1042"/>
      <c r="M192" s="1042"/>
      <c r="N192" s="1042">
        <v>54</v>
      </c>
      <c r="O192" s="1042"/>
      <c r="P192" s="1042"/>
      <c r="Q192" s="1042"/>
      <c r="R192" s="1038"/>
      <c r="S192" s="1039"/>
      <c r="T192" s="1032"/>
      <c r="U192" s="1032"/>
      <c r="V192" s="1032"/>
      <c r="W192" s="1032"/>
      <c r="X192" s="1032"/>
    </row>
    <row r="193" spans="1:24" ht="21" customHeight="1">
      <c r="A193" s="1033"/>
      <c r="B193" s="1034"/>
      <c r="C193" s="1035"/>
      <c r="D193" s="1057" t="s">
        <v>799</v>
      </c>
      <c r="E193" s="1036">
        <v>3841</v>
      </c>
      <c r="F193" s="1036">
        <f t="shared" si="2"/>
        <v>30310</v>
      </c>
      <c r="G193" s="1042">
        <v>14157</v>
      </c>
      <c r="H193" s="1042">
        <v>5000</v>
      </c>
      <c r="I193" s="1042">
        <v>10829</v>
      </c>
      <c r="J193" s="1042">
        <v>270</v>
      </c>
      <c r="K193" s="1042"/>
      <c r="L193" s="1042"/>
      <c r="M193" s="1042"/>
      <c r="N193" s="1042">
        <v>54</v>
      </c>
      <c r="O193" s="1042"/>
      <c r="P193" s="1042"/>
      <c r="Q193" s="1042"/>
      <c r="R193" s="1038"/>
      <c r="S193" s="1039"/>
      <c r="T193" s="1032"/>
      <c r="U193" s="1032"/>
      <c r="V193" s="1032"/>
      <c r="W193" s="1032"/>
      <c r="X193" s="1032"/>
    </row>
    <row r="194" spans="1:24" ht="21" customHeight="1">
      <c r="A194" s="1033" t="s">
        <v>320</v>
      </c>
      <c r="B194" s="1034" t="s">
        <v>393</v>
      </c>
      <c r="C194" s="1035" t="s">
        <v>395</v>
      </c>
      <c r="D194" s="1041" t="s">
        <v>4</v>
      </c>
      <c r="E194" s="1036"/>
      <c r="F194" s="1036">
        <f t="shared" si="2"/>
        <v>0</v>
      </c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38"/>
      <c r="S194" s="1039"/>
      <c r="T194" s="1032"/>
      <c r="U194" s="1032"/>
      <c r="V194" s="1032"/>
      <c r="W194" s="1032"/>
      <c r="X194" s="1032"/>
    </row>
    <row r="195" spans="1:24" ht="21" customHeight="1" hidden="1">
      <c r="A195" s="1033"/>
      <c r="B195" s="1034"/>
      <c r="C195" s="1035"/>
      <c r="D195" s="1057" t="s">
        <v>668</v>
      </c>
      <c r="E195" s="1036"/>
      <c r="F195" s="1036">
        <f t="shared" si="2"/>
        <v>0</v>
      </c>
      <c r="G195" s="1042"/>
      <c r="H195" s="1042"/>
      <c r="I195" s="1042"/>
      <c r="J195" s="1042"/>
      <c r="K195" s="1042"/>
      <c r="L195" s="1042"/>
      <c r="M195" s="1042"/>
      <c r="N195" s="1042"/>
      <c r="O195" s="1042"/>
      <c r="P195" s="1042"/>
      <c r="Q195" s="1042"/>
      <c r="R195" s="1038"/>
      <c r="S195" s="1039"/>
      <c r="T195" s="1032"/>
      <c r="U195" s="1032"/>
      <c r="V195" s="1032"/>
      <c r="W195" s="1032"/>
      <c r="X195" s="1032"/>
    </row>
    <row r="196" spans="1:24" ht="21" customHeight="1">
      <c r="A196" s="1033"/>
      <c r="B196" s="1034"/>
      <c r="C196" s="1035"/>
      <c r="D196" s="1057" t="s">
        <v>733</v>
      </c>
      <c r="E196" s="1036"/>
      <c r="F196" s="1036">
        <f t="shared" si="2"/>
        <v>0</v>
      </c>
      <c r="G196" s="1042"/>
      <c r="H196" s="1042"/>
      <c r="I196" s="1042"/>
      <c r="J196" s="1042"/>
      <c r="K196" s="1042"/>
      <c r="L196" s="1042"/>
      <c r="M196" s="1042"/>
      <c r="N196" s="1042"/>
      <c r="O196" s="1042"/>
      <c r="P196" s="1042"/>
      <c r="Q196" s="1042"/>
      <c r="R196" s="1038"/>
      <c r="S196" s="1039"/>
      <c r="T196" s="1032"/>
      <c r="U196" s="1032"/>
      <c r="V196" s="1032"/>
      <c r="W196" s="1032"/>
      <c r="X196" s="1032"/>
    </row>
    <row r="197" spans="1:24" ht="21" customHeight="1">
      <c r="A197" s="1033"/>
      <c r="B197" s="1034"/>
      <c r="C197" s="1035"/>
      <c r="D197" s="1057" t="s">
        <v>799</v>
      </c>
      <c r="E197" s="1036"/>
      <c r="F197" s="1036">
        <v>0</v>
      </c>
      <c r="G197" s="1042"/>
      <c r="H197" s="1042"/>
      <c r="I197" s="1042"/>
      <c r="J197" s="1042"/>
      <c r="K197" s="1042"/>
      <c r="L197" s="1042"/>
      <c r="M197" s="1042"/>
      <c r="N197" s="1042"/>
      <c r="O197" s="1042"/>
      <c r="P197" s="1042"/>
      <c r="Q197" s="1042"/>
      <c r="R197" s="1038"/>
      <c r="S197" s="1039"/>
      <c r="T197" s="1032"/>
      <c r="U197" s="1032"/>
      <c r="V197" s="1032"/>
      <c r="W197" s="1032"/>
      <c r="X197" s="1032"/>
    </row>
    <row r="198" spans="1:24" ht="21" customHeight="1">
      <c r="A198" s="1033" t="s">
        <v>320</v>
      </c>
      <c r="B198" s="1034" t="s">
        <v>393</v>
      </c>
      <c r="C198" s="1035" t="s">
        <v>396</v>
      </c>
      <c r="D198" s="1041" t="s">
        <v>4</v>
      </c>
      <c r="E198" s="1036"/>
      <c r="F198" s="1036">
        <f t="shared" si="2"/>
        <v>0</v>
      </c>
      <c r="G198" s="1042"/>
      <c r="H198" s="1042"/>
      <c r="I198" s="1042"/>
      <c r="J198" s="1042"/>
      <c r="K198" s="1042"/>
      <c r="L198" s="1042"/>
      <c r="M198" s="1042"/>
      <c r="N198" s="1042"/>
      <c r="O198" s="1042"/>
      <c r="P198" s="1042"/>
      <c r="Q198" s="1042"/>
      <c r="R198" s="1038"/>
      <c r="S198" s="1039"/>
      <c r="T198" s="1032"/>
      <c r="U198" s="1032"/>
      <c r="V198" s="1032"/>
      <c r="W198" s="1032"/>
      <c r="X198" s="1032"/>
    </row>
    <row r="199" spans="1:24" ht="21" customHeight="1" hidden="1">
      <c r="A199" s="1033"/>
      <c r="B199" s="1034"/>
      <c r="C199" s="1035"/>
      <c r="D199" s="1057" t="s">
        <v>668</v>
      </c>
      <c r="E199" s="1036"/>
      <c r="F199" s="1036">
        <f t="shared" si="2"/>
        <v>0</v>
      </c>
      <c r="G199" s="1042"/>
      <c r="H199" s="1042"/>
      <c r="I199" s="1042"/>
      <c r="J199" s="1042"/>
      <c r="K199" s="1042"/>
      <c r="L199" s="1042"/>
      <c r="M199" s="1042"/>
      <c r="N199" s="1042"/>
      <c r="O199" s="1042"/>
      <c r="P199" s="1042"/>
      <c r="Q199" s="1042"/>
      <c r="R199" s="1038"/>
      <c r="S199" s="1039"/>
      <c r="T199" s="1032"/>
      <c r="U199" s="1032"/>
      <c r="V199" s="1032"/>
      <c r="W199" s="1032"/>
      <c r="X199" s="1032"/>
    </row>
    <row r="200" spans="1:24" ht="21" customHeight="1">
      <c r="A200" s="1033"/>
      <c r="B200" s="1034"/>
      <c r="C200" s="1035"/>
      <c r="D200" s="1057" t="s">
        <v>733</v>
      </c>
      <c r="E200" s="1036"/>
      <c r="F200" s="1036">
        <f t="shared" si="2"/>
        <v>0</v>
      </c>
      <c r="G200" s="1042"/>
      <c r="H200" s="1042"/>
      <c r="I200" s="1042"/>
      <c r="J200" s="1042"/>
      <c r="K200" s="1042"/>
      <c r="L200" s="1042"/>
      <c r="M200" s="1042"/>
      <c r="N200" s="1042"/>
      <c r="O200" s="1042"/>
      <c r="P200" s="1042"/>
      <c r="Q200" s="1042"/>
      <c r="R200" s="1038"/>
      <c r="S200" s="1039"/>
      <c r="T200" s="1032"/>
      <c r="U200" s="1032"/>
      <c r="V200" s="1032"/>
      <c r="W200" s="1032"/>
      <c r="X200" s="1032"/>
    </row>
    <row r="201" spans="1:24" ht="21" customHeight="1">
      <c r="A201" s="1033"/>
      <c r="B201" s="1034"/>
      <c r="C201" s="1035"/>
      <c r="D201" s="1057" t="s">
        <v>799</v>
      </c>
      <c r="E201" s="1036"/>
      <c r="F201" s="1036">
        <v>0</v>
      </c>
      <c r="G201" s="1042"/>
      <c r="H201" s="1042"/>
      <c r="I201" s="1042"/>
      <c r="J201" s="1042"/>
      <c r="K201" s="1042"/>
      <c r="L201" s="1042"/>
      <c r="M201" s="1042"/>
      <c r="N201" s="1042"/>
      <c r="O201" s="1042"/>
      <c r="P201" s="1042"/>
      <c r="Q201" s="1042"/>
      <c r="R201" s="1038"/>
      <c r="S201" s="1039"/>
      <c r="T201" s="1032"/>
      <c r="U201" s="1032"/>
      <c r="V201" s="1032"/>
      <c r="W201" s="1032"/>
      <c r="X201" s="1032"/>
    </row>
    <row r="202" spans="1:24" ht="21" customHeight="1">
      <c r="A202" s="1033" t="s">
        <v>320</v>
      </c>
      <c r="B202" s="1034" t="s">
        <v>397</v>
      </c>
      <c r="C202" s="1035" t="s">
        <v>398</v>
      </c>
      <c r="D202" s="1041" t="s">
        <v>4</v>
      </c>
      <c r="E202" s="1036"/>
      <c r="F202" s="1036">
        <f t="shared" si="2"/>
        <v>2500</v>
      </c>
      <c r="G202" s="1042"/>
      <c r="H202" s="1042"/>
      <c r="I202" s="1042">
        <v>2500</v>
      </c>
      <c r="J202" s="1042"/>
      <c r="K202" s="1042"/>
      <c r="L202" s="1042"/>
      <c r="M202" s="1042"/>
      <c r="N202" s="1042"/>
      <c r="O202" s="1044"/>
      <c r="P202" s="1042"/>
      <c r="Q202" s="1042"/>
      <c r="R202" s="1038"/>
      <c r="S202" s="1039"/>
      <c r="T202" s="1032"/>
      <c r="U202" s="1032"/>
      <c r="V202" s="1032"/>
      <c r="W202" s="1032"/>
      <c r="X202" s="1032"/>
    </row>
    <row r="203" spans="1:24" ht="21" customHeight="1" hidden="1">
      <c r="A203" s="1033"/>
      <c r="B203" s="1034"/>
      <c r="C203" s="1035"/>
      <c r="D203" s="1057" t="s">
        <v>668</v>
      </c>
      <c r="E203" s="1036"/>
      <c r="F203" s="1036">
        <f t="shared" si="2"/>
        <v>2500</v>
      </c>
      <c r="G203" s="1042"/>
      <c r="H203" s="1042"/>
      <c r="I203" s="1042">
        <v>2500</v>
      </c>
      <c r="J203" s="1042"/>
      <c r="K203" s="1042"/>
      <c r="L203" s="1042"/>
      <c r="M203" s="1042"/>
      <c r="N203" s="1042"/>
      <c r="O203" s="1044"/>
      <c r="P203" s="1042"/>
      <c r="Q203" s="1042"/>
      <c r="R203" s="1038"/>
      <c r="S203" s="1039"/>
      <c r="T203" s="1032"/>
      <c r="U203" s="1032"/>
      <c r="V203" s="1032"/>
      <c r="W203" s="1032"/>
      <c r="X203" s="1032"/>
    </row>
    <row r="204" spans="1:24" ht="21" customHeight="1">
      <c r="A204" s="1033"/>
      <c r="B204" s="1034"/>
      <c r="C204" s="1035"/>
      <c r="D204" s="1057" t="s">
        <v>733</v>
      </c>
      <c r="E204" s="1036"/>
      <c r="F204" s="1036">
        <f t="shared" si="2"/>
        <v>2500</v>
      </c>
      <c r="G204" s="1042"/>
      <c r="H204" s="1042"/>
      <c r="I204" s="1042">
        <v>2500</v>
      </c>
      <c r="J204" s="1042"/>
      <c r="K204" s="1042"/>
      <c r="L204" s="1042"/>
      <c r="M204" s="1042"/>
      <c r="N204" s="1042"/>
      <c r="O204" s="1044"/>
      <c r="P204" s="1042"/>
      <c r="Q204" s="1042"/>
      <c r="R204" s="1038"/>
      <c r="S204" s="1039"/>
      <c r="T204" s="1032"/>
      <c r="U204" s="1032"/>
      <c r="V204" s="1032"/>
      <c r="W204" s="1032"/>
      <c r="X204" s="1032"/>
    </row>
    <row r="205" spans="1:24" ht="21" customHeight="1">
      <c r="A205" s="1033"/>
      <c r="B205" s="1034"/>
      <c r="C205" s="1035"/>
      <c r="D205" s="1057" t="s">
        <v>799</v>
      </c>
      <c r="E205" s="1036"/>
      <c r="F205" s="1036">
        <f t="shared" si="2"/>
        <v>2500</v>
      </c>
      <c r="G205" s="1042"/>
      <c r="H205" s="1042"/>
      <c r="I205" s="1042">
        <v>2500</v>
      </c>
      <c r="J205" s="1042"/>
      <c r="K205" s="1042"/>
      <c r="L205" s="1042"/>
      <c r="M205" s="1042"/>
      <c r="N205" s="1042"/>
      <c r="O205" s="1044"/>
      <c r="P205" s="1042"/>
      <c r="Q205" s="1042"/>
      <c r="R205" s="1038"/>
      <c r="S205" s="1039"/>
      <c r="T205" s="1032"/>
      <c r="U205" s="1032"/>
      <c r="V205" s="1032"/>
      <c r="W205" s="1032"/>
      <c r="X205" s="1032"/>
    </row>
    <row r="206" spans="1:29" ht="21" customHeight="1">
      <c r="A206" s="1033" t="s">
        <v>320</v>
      </c>
      <c r="B206" s="1034" t="s">
        <v>399</v>
      </c>
      <c r="C206" s="1035" t="s">
        <v>400</v>
      </c>
      <c r="D206" s="1041" t="s">
        <v>4</v>
      </c>
      <c r="E206" s="1036"/>
      <c r="F206" s="1036">
        <f t="shared" si="2"/>
        <v>0</v>
      </c>
      <c r="G206" s="1042"/>
      <c r="H206" s="1042"/>
      <c r="I206" s="1042"/>
      <c r="J206" s="1042"/>
      <c r="K206" s="1042"/>
      <c r="L206" s="1042"/>
      <c r="M206" s="1042"/>
      <c r="N206" s="1042"/>
      <c r="O206" s="1044"/>
      <c r="P206" s="1042"/>
      <c r="Q206" s="1042"/>
      <c r="R206" s="1038"/>
      <c r="S206" s="1039"/>
      <c r="T206" s="1032"/>
      <c r="U206" s="1032"/>
      <c r="V206" s="1032"/>
      <c r="W206" s="1032"/>
      <c r="X206" s="1032"/>
      <c r="Y206" s="1032"/>
      <c r="Z206" s="1032"/>
      <c r="AA206" s="1032"/>
      <c r="AB206" s="1032"/>
      <c r="AC206" s="1032"/>
    </row>
    <row r="207" spans="1:29" ht="21" customHeight="1" hidden="1">
      <c r="A207" s="1033"/>
      <c r="B207" s="1034"/>
      <c r="C207" s="1035"/>
      <c r="D207" s="1057" t="s">
        <v>668</v>
      </c>
      <c r="E207" s="1036"/>
      <c r="F207" s="1036">
        <f t="shared" si="2"/>
        <v>0</v>
      </c>
      <c r="G207" s="1042"/>
      <c r="H207" s="1042"/>
      <c r="I207" s="1042"/>
      <c r="J207" s="1042"/>
      <c r="K207" s="1042"/>
      <c r="L207" s="1042"/>
      <c r="M207" s="1042"/>
      <c r="N207" s="1042"/>
      <c r="O207" s="1044"/>
      <c r="P207" s="1042"/>
      <c r="Q207" s="1042"/>
      <c r="R207" s="1038"/>
      <c r="S207" s="1039"/>
      <c r="T207" s="1032"/>
      <c r="U207" s="1032"/>
      <c r="V207" s="1032"/>
      <c r="W207" s="1032"/>
      <c r="X207" s="1032"/>
      <c r="Y207" s="1032"/>
      <c r="Z207" s="1032"/>
      <c r="AA207" s="1032"/>
      <c r="AB207" s="1032"/>
      <c r="AC207" s="1032"/>
    </row>
    <row r="208" spans="1:29" ht="21" customHeight="1">
      <c r="A208" s="1033"/>
      <c r="B208" s="1034"/>
      <c r="C208" s="1035"/>
      <c r="D208" s="1057" t="s">
        <v>733</v>
      </c>
      <c r="E208" s="1036"/>
      <c r="F208" s="1036">
        <f t="shared" si="2"/>
        <v>0</v>
      </c>
      <c r="G208" s="1042"/>
      <c r="H208" s="1042"/>
      <c r="I208" s="1042"/>
      <c r="J208" s="1042"/>
      <c r="K208" s="1042"/>
      <c r="L208" s="1042"/>
      <c r="M208" s="1042"/>
      <c r="N208" s="1042"/>
      <c r="O208" s="1044"/>
      <c r="P208" s="1042"/>
      <c r="Q208" s="1042"/>
      <c r="R208" s="1038"/>
      <c r="S208" s="1039"/>
      <c r="T208" s="1032"/>
      <c r="U208" s="1032"/>
      <c r="V208" s="1032"/>
      <c r="W208" s="1032"/>
      <c r="X208" s="1032"/>
      <c r="Y208" s="1032"/>
      <c r="Z208" s="1032"/>
      <c r="AA208" s="1032"/>
      <c r="AB208" s="1032"/>
      <c r="AC208" s="1032"/>
    </row>
    <row r="209" spans="1:29" ht="21" customHeight="1">
      <c r="A209" s="1033"/>
      <c r="B209" s="1034"/>
      <c r="C209" s="1035"/>
      <c r="D209" s="1057" t="s">
        <v>799</v>
      </c>
      <c r="E209" s="1036"/>
      <c r="F209" s="1036">
        <f t="shared" si="2"/>
        <v>0</v>
      </c>
      <c r="G209" s="1042"/>
      <c r="H209" s="1042"/>
      <c r="I209" s="1042"/>
      <c r="J209" s="1042"/>
      <c r="K209" s="1042"/>
      <c r="L209" s="1042"/>
      <c r="M209" s="1042"/>
      <c r="N209" s="1042"/>
      <c r="O209" s="1044"/>
      <c r="P209" s="1042"/>
      <c r="Q209" s="1042"/>
      <c r="R209" s="1038"/>
      <c r="S209" s="1039"/>
      <c r="T209" s="1032"/>
      <c r="U209" s="1032"/>
      <c r="V209" s="1032"/>
      <c r="W209" s="1032"/>
      <c r="X209" s="1032"/>
      <c r="Y209" s="1032"/>
      <c r="Z209" s="1032"/>
      <c r="AA209" s="1032"/>
      <c r="AB209" s="1032"/>
      <c r="AC209" s="1032"/>
    </row>
    <row r="210" spans="1:24" ht="21" customHeight="1">
      <c r="A210" s="1033" t="s">
        <v>320</v>
      </c>
      <c r="B210" s="1034" t="s">
        <v>401</v>
      </c>
      <c r="C210" s="1035" t="s">
        <v>402</v>
      </c>
      <c r="D210" s="1041" t="s">
        <v>4</v>
      </c>
      <c r="E210" s="1036"/>
      <c r="F210" s="1036">
        <f t="shared" si="2"/>
        <v>1500</v>
      </c>
      <c r="G210" s="1042"/>
      <c r="H210" s="1042"/>
      <c r="I210" s="1042"/>
      <c r="J210" s="1042"/>
      <c r="K210" s="1042">
        <v>1500</v>
      </c>
      <c r="L210" s="1042"/>
      <c r="M210" s="1042"/>
      <c r="N210" s="1042"/>
      <c r="O210" s="1042"/>
      <c r="P210" s="1042"/>
      <c r="Q210" s="1042"/>
      <c r="R210" s="1038"/>
      <c r="S210" s="1039"/>
      <c r="T210" s="1032"/>
      <c r="U210" s="1032"/>
      <c r="V210" s="1032"/>
      <c r="W210" s="1032"/>
      <c r="X210" s="1032"/>
    </row>
    <row r="211" spans="1:24" ht="21" customHeight="1" hidden="1">
      <c r="A211" s="1033"/>
      <c r="B211" s="1034"/>
      <c r="C211" s="1035"/>
      <c r="D211" s="1057" t="s">
        <v>668</v>
      </c>
      <c r="E211" s="1036"/>
      <c r="F211" s="1036">
        <f t="shared" si="2"/>
        <v>1573</v>
      </c>
      <c r="G211" s="1042"/>
      <c r="H211" s="1042"/>
      <c r="I211" s="1042"/>
      <c r="J211" s="1042"/>
      <c r="K211" s="1042">
        <v>1573</v>
      </c>
      <c r="L211" s="1042"/>
      <c r="M211" s="1042"/>
      <c r="N211" s="1042"/>
      <c r="O211" s="1042"/>
      <c r="P211" s="1042"/>
      <c r="Q211" s="1042"/>
      <c r="R211" s="1038"/>
      <c r="S211" s="1039"/>
      <c r="T211" s="1032"/>
      <c r="U211" s="1032"/>
      <c r="V211" s="1032"/>
      <c r="W211" s="1032"/>
      <c r="X211" s="1032"/>
    </row>
    <row r="212" spans="1:24" ht="21" customHeight="1">
      <c r="A212" s="1033"/>
      <c r="B212" s="1034"/>
      <c r="C212" s="1035"/>
      <c r="D212" s="1057" t="s">
        <v>733</v>
      </c>
      <c r="E212" s="1036"/>
      <c r="F212" s="1036">
        <f t="shared" si="2"/>
        <v>2446</v>
      </c>
      <c r="G212" s="1042"/>
      <c r="H212" s="1042"/>
      <c r="I212" s="1042"/>
      <c r="J212" s="1042"/>
      <c r="K212" s="1042">
        <f>K211+873</f>
        <v>2446</v>
      </c>
      <c r="L212" s="1042"/>
      <c r="M212" s="1042"/>
      <c r="N212" s="1042"/>
      <c r="O212" s="1042"/>
      <c r="P212" s="1042"/>
      <c r="Q212" s="1042"/>
      <c r="R212" s="1038"/>
      <c r="S212" s="1039"/>
      <c r="T212" s="1032"/>
      <c r="U212" s="1032"/>
      <c r="V212" s="1032"/>
      <c r="W212" s="1032"/>
      <c r="X212" s="1032"/>
    </row>
    <row r="213" spans="1:24" ht="21" customHeight="1">
      <c r="A213" s="1033"/>
      <c r="B213" s="1034"/>
      <c r="C213" s="1035"/>
      <c r="D213" s="1057" t="s">
        <v>799</v>
      </c>
      <c r="E213" s="1036"/>
      <c r="F213" s="1036">
        <f t="shared" si="2"/>
        <v>2446</v>
      </c>
      <c r="G213" s="1042"/>
      <c r="H213" s="1042"/>
      <c r="I213" s="1042"/>
      <c r="J213" s="1042"/>
      <c r="K213" s="1042">
        <v>2446</v>
      </c>
      <c r="L213" s="1042"/>
      <c r="M213" s="1042"/>
      <c r="N213" s="1042"/>
      <c r="O213" s="1042"/>
      <c r="P213" s="1042"/>
      <c r="Q213" s="1042"/>
      <c r="R213" s="1038"/>
      <c r="S213" s="1039"/>
      <c r="T213" s="1032"/>
      <c r="U213" s="1032"/>
      <c r="V213" s="1032"/>
      <c r="W213" s="1032"/>
      <c r="X213" s="1032"/>
    </row>
    <row r="214" spans="1:24" ht="21" customHeight="1">
      <c r="A214" s="1033" t="s">
        <v>320</v>
      </c>
      <c r="B214" s="1034" t="s">
        <v>401</v>
      </c>
      <c r="C214" s="1035" t="s">
        <v>402</v>
      </c>
      <c r="D214" s="1041" t="s">
        <v>4</v>
      </c>
      <c r="E214" s="1036"/>
      <c r="F214" s="1036">
        <f t="shared" si="2"/>
        <v>0</v>
      </c>
      <c r="G214" s="1042"/>
      <c r="H214" s="1042"/>
      <c r="I214" s="1042"/>
      <c r="J214" s="1042"/>
      <c r="K214" s="1042"/>
      <c r="L214" s="1042"/>
      <c r="M214" s="1042"/>
      <c r="N214" s="1042"/>
      <c r="O214" s="1042"/>
      <c r="P214" s="1042"/>
      <c r="Q214" s="1042"/>
      <c r="R214" s="1038"/>
      <c r="S214" s="1039"/>
      <c r="T214" s="1032"/>
      <c r="U214" s="1032"/>
      <c r="V214" s="1032"/>
      <c r="W214" s="1032"/>
      <c r="X214" s="1032"/>
    </row>
    <row r="215" spans="1:24" ht="21" customHeight="1" hidden="1">
      <c r="A215" s="1033"/>
      <c r="B215" s="1034"/>
      <c r="C215" s="1035"/>
      <c r="D215" s="1057" t="s">
        <v>668</v>
      </c>
      <c r="E215" s="1036"/>
      <c r="F215" s="1036">
        <f t="shared" si="2"/>
        <v>0</v>
      </c>
      <c r="G215" s="1042"/>
      <c r="H215" s="1042"/>
      <c r="I215" s="1042"/>
      <c r="J215" s="1042"/>
      <c r="K215" s="1042"/>
      <c r="L215" s="1042"/>
      <c r="M215" s="1042"/>
      <c r="N215" s="1042"/>
      <c r="O215" s="1042"/>
      <c r="P215" s="1042"/>
      <c r="Q215" s="1042"/>
      <c r="R215" s="1038"/>
      <c r="S215" s="1039"/>
      <c r="T215" s="1032"/>
      <c r="U215" s="1032"/>
      <c r="V215" s="1032"/>
      <c r="W215" s="1032"/>
      <c r="X215" s="1032"/>
    </row>
    <row r="216" spans="1:24" ht="21" customHeight="1">
      <c r="A216" s="1033"/>
      <c r="B216" s="1034"/>
      <c r="C216" s="1035"/>
      <c r="D216" s="1057" t="s">
        <v>733</v>
      </c>
      <c r="E216" s="1036"/>
      <c r="F216" s="1036">
        <f t="shared" si="2"/>
        <v>0</v>
      </c>
      <c r="G216" s="1042"/>
      <c r="H216" s="1042"/>
      <c r="I216" s="1042"/>
      <c r="J216" s="1042"/>
      <c r="K216" s="1042"/>
      <c r="L216" s="1042"/>
      <c r="M216" s="1042"/>
      <c r="N216" s="1042"/>
      <c r="O216" s="1042"/>
      <c r="P216" s="1042"/>
      <c r="Q216" s="1042"/>
      <c r="R216" s="1038"/>
      <c r="S216" s="1039"/>
      <c r="T216" s="1032"/>
      <c r="U216" s="1032"/>
      <c r="V216" s="1032"/>
      <c r="W216" s="1032"/>
      <c r="X216" s="1032"/>
    </row>
    <row r="217" spans="1:24" ht="21" customHeight="1">
      <c r="A217" s="1033"/>
      <c r="B217" s="1034"/>
      <c r="C217" s="1035"/>
      <c r="D217" s="1057" t="s">
        <v>799</v>
      </c>
      <c r="E217" s="1036"/>
      <c r="F217" s="1036">
        <v>0</v>
      </c>
      <c r="G217" s="1042"/>
      <c r="H217" s="1042"/>
      <c r="I217" s="1042"/>
      <c r="J217" s="1042"/>
      <c r="K217" s="1042"/>
      <c r="L217" s="1042"/>
      <c r="M217" s="1042"/>
      <c r="N217" s="1042"/>
      <c r="O217" s="1042"/>
      <c r="P217" s="1042"/>
      <c r="Q217" s="1042"/>
      <c r="R217" s="1038"/>
      <c r="S217" s="1039"/>
      <c r="T217" s="1032"/>
      <c r="U217" s="1032"/>
      <c r="V217" s="1032"/>
      <c r="W217" s="1032"/>
      <c r="X217" s="1032"/>
    </row>
    <row r="218" spans="1:24" ht="21" customHeight="1">
      <c r="A218" s="1033" t="s">
        <v>320</v>
      </c>
      <c r="B218" s="1034" t="s">
        <v>403</v>
      </c>
      <c r="C218" s="1035" t="s">
        <v>404</v>
      </c>
      <c r="D218" s="1041" t="s">
        <v>4</v>
      </c>
      <c r="E218" s="1036"/>
      <c r="F218" s="1036">
        <f t="shared" si="2"/>
        <v>0</v>
      </c>
      <c r="G218" s="1042"/>
      <c r="H218" s="1042"/>
      <c r="I218" s="1042"/>
      <c r="J218" s="1042"/>
      <c r="K218" s="1042"/>
      <c r="L218" s="1042"/>
      <c r="M218" s="1042"/>
      <c r="N218" s="1042"/>
      <c r="O218" s="1042"/>
      <c r="P218" s="1042"/>
      <c r="Q218" s="1042"/>
      <c r="R218" s="1038"/>
      <c r="S218" s="1039"/>
      <c r="T218" s="1032"/>
      <c r="U218" s="1032"/>
      <c r="V218" s="1032"/>
      <c r="W218" s="1032"/>
      <c r="X218" s="1032"/>
    </row>
    <row r="219" spans="1:24" ht="21" customHeight="1" hidden="1">
      <c r="A219" s="1033"/>
      <c r="B219" s="1034"/>
      <c r="C219" s="1035"/>
      <c r="D219" s="1057" t="s">
        <v>668</v>
      </c>
      <c r="E219" s="1036"/>
      <c r="F219" s="1036">
        <f t="shared" si="2"/>
        <v>0</v>
      </c>
      <c r="G219" s="1042"/>
      <c r="H219" s="1042"/>
      <c r="I219" s="1042"/>
      <c r="J219" s="1042"/>
      <c r="K219" s="1042"/>
      <c r="L219" s="1042"/>
      <c r="M219" s="1042"/>
      <c r="N219" s="1042"/>
      <c r="O219" s="1042"/>
      <c r="P219" s="1042"/>
      <c r="Q219" s="1042"/>
      <c r="R219" s="1038"/>
      <c r="S219" s="1039"/>
      <c r="T219" s="1032"/>
      <c r="U219" s="1032"/>
      <c r="V219" s="1032"/>
      <c r="W219" s="1032"/>
      <c r="X219" s="1032"/>
    </row>
    <row r="220" spans="1:24" ht="21" customHeight="1">
      <c r="A220" s="1033"/>
      <c r="B220" s="1034"/>
      <c r="C220" s="1035"/>
      <c r="D220" s="1057" t="s">
        <v>733</v>
      </c>
      <c r="E220" s="1036"/>
      <c r="F220" s="1036">
        <f t="shared" si="2"/>
        <v>0</v>
      </c>
      <c r="G220" s="1042"/>
      <c r="H220" s="1042"/>
      <c r="I220" s="1042"/>
      <c r="J220" s="1042"/>
      <c r="K220" s="1042"/>
      <c r="L220" s="1042"/>
      <c r="M220" s="1042"/>
      <c r="N220" s="1042"/>
      <c r="O220" s="1042"/>
      <c r="P220" s="1042"/>
      <c r="Q220" s="1042"/>
      <c r="R220" s="1038"/>
      <c r="S220" s="1039"/>
      <c r="T220" s="1032"/>
      <c r="U220" s="1032"/>
      <c r="V220" s="1032"/>
      <c r="W220" s="1032"/>
      <c r="X220" s="1032"/>
    </row>
    <row r="221" spans="1:24" ht="21" customHeight="1">
      <c r="A221" s="1033"/>
      <c r="B221" s="1034"/>
      <c r="C221" s="1035"/>
      <c r="D221" s="1057" t="s">
        <v>799</v>
      </c>
      <c r="E221" s="1036"/>
      <c r="F221" s="1036">
        <v>0</v>
      </c>
      <c r="G221" s="1042"/>
      <c r="H221" s="1042"/>
      <c r="I221" s="1042"/>
      <c r="J221" s="1042"/>
      <c r="K221" s="1042"/>
      <c r="L221" s="1042"/>
      <c r="M221" s="1042"/>
      <c r="N221" s="1042"/>
      <c r="O221" s="1042"/>
      <c r="P221" s="1042"/>
      <c r="Q221" s="1042"/>
      <c r="R221" s="1038"/>
      <c r="S221" s="1039"/>
      <c r="T221" s="1032"/>
      <c r="U221" s="1032"/>
      <c r="V221" s="1032"/>
      <c r="W221" s="1032"/>
      <c r="X221" s="1032"/>
    </row>
    <row r="222" spans="1:24" ht="21" customHeight="1">
      <c r="A222" s="1033" t="s">
        <v>317</v>
      </c>
      <c r="B222" s="1034" t="s">
        <v>405</v>
      </c>
      <c r="C222" s="1035" t="s">
        <v>406</v>
      </c>
      <c r="D222" s="1041" t="s">
        <v>4</v>
      </c>
      <c r="E222" s="1036"/>
      <c r="F222" s="1036">
        <f t="shared" si="2"/>
        <v>0</v>
      </c>
      <c r="G222" s="1037"/>
      <c r="H222" s="1037"/>
      <c r="I222" s="1037"/>
      <c r="J222" s="1037"/>
      <c r="K222" s="1037"/>
      <c r="L222" s="1037"/>
      <c r="M222" s="1037"/>
      <c r="N222" s="1037"/>
      <c r="O222" s="1037"/>
      <c r="P222" s="1037"/>
      <c r="Q222" s="1037"/>
      <c r="R222" s="1038"/>
      <c r="S222" s="1039"/>
      <c r="T222" s="1032"/>
      <c r="U222" s="1032"/>
      <c r="V222" s="1032"/>
      <c r="W222" s="1032"/>
      <c r="X222" s="1032"/>
    </row>
    <row r="223" spans="1:24" ht="21" customHeight="1" hidden="1">
      <c r="A223" s="1033"/>
      <c r="B223" s="1034"/>
      <c r="C223" s="1035"/>
      <c r="D223" s="1057" t="s">
        <v>668</v>
      </c>
      <c r="E223" s="1036"/>
      <c r="F223" s="1036">
        <f t="shared" si="2"/>
        <v>0</v>
      </c>
      <c r="G223" s="1037"/>
      <c r="H223" s="1037"/>
      <c r="I223" s="1037"/>
      <c r="J223" s="1037"/>
      <c r="K223" s="1037"/>
      <c r="L223" s="1037"/>
      <c r="M223" s="1037"/>
      <c r="N223" s="1037"/>
      <c r="O223" s="1037"/>
      <c r="P223" s="1037"/>
      <c r="Q223" s="1037"/>
      <c r="R223" s="1038"/>
      <c r="S223" s="1039"/>
      <c r="T223" s="1032"/>
      <c r="U223" s="1032"/>
      <c r="V223" s="1032"/>
      <c r="W223" s="1032"/>
      <c r="X223" s="1032"/>
    </row>
    <row r="224" spans="1:24" ht="21" customHeight="1">
      <c r="A224" s="1033"/>
      <c r="B224" s="1034"/>
      <c r="C224" s="1035"/>
      <c r="D224" s="1057" t="s">
        <v>733</v>
      </c>
      <c r="E224" s="1036"/>
      <c r="F224" s="1036">
        <f t="shared" si="2"/>
        <v>0</v>
      </c>
      <c r="G224" s="1037"/>
      <c r="H224" s="1037"/>
      <c r="I224" s="1037"/>
      <c r="J224" s="1037"/>
      <c r="K224" s="1037"/>
      <c r="L224" s="1037"/>
      <c r="M224" s="1037"/>
      <c r="N224" s="1037"/>
      <c r="O224" s="1037"/>
      <c r="P224" s="1037"/>
      <c r="Q224" s="1037"/>
      <c r="R224" s="1038"/>
      <c r="S224" s="1039"/>
      <c r="T224" s="1032"/>
      <c r="U224" s="1032"/>
      <c r="V224" s="1032"/>
      <c r="W224" s="1032"/>
      <c r="X224" s="1032"/>
    </row>
    <row r="225" spans="1:24" ht="21" customHeight="1">
      <c r="A225" s="1033"/>
      <c r="B225" s="1034"/>
      <c r="C225" s="1035"/>
      <c r="D225" s="1057" t="s">
        <v>799</v>
      </c>
      <c r="E225" s="1036"/>
      <c r="F225" s="1036">
        <v>0</v>
      </c>
      <c r="G225" s="1037"/>
      <c r="H225" s="1037"/>
      <c r="I225" s="1037"/>
      <c r="J225" s="1037"/>
      <c r="K225" s="1037"/>
      <c r="L225" s="1037"/>
      <c r="M225" s="1037"/>
      <c r="N225" s="1037"/>
      <c r="O225" s="1037"/>
      <c r="P225" s="1037"/>
      <c r="Q225" s="1037"/>
      <c r="R225" s="1038"/>
      <c r="S225" s="1039"/>
      <c r="T225" s="1032"/>
      <c r="U225" s="1032"/>
      <c r="V225" s="1032"/>
      <c r="W225" s="1032"/>
      <c r="X225" s="1032"/>
    </row>
    <row r="226" spans="1:24" ht="21" customHeight="1">
      <c r="A226" s="1033" t="s">
        <v>317</v>
      </c>
      <c r="B226" s="1034" t="s">
        <v>407</v>
      </c>
      <c r="C226" s="1035" t="s">
        <v>408</v>
      </c>
      <c r="D226" s="1041" t="s">
        <v>4</v>
      </c>
      <c r="E226" s="1036"/>
      <c r="F226" s="1036">
        <f t="shared" si="2"/>
        <v>0</v>
      </c>
      <c r="G226" s="1042"/>
      <c r="H226" s="1042"/>
      <c r="I226" s="1042"/>
      <c r="J226" s="1042"/>
      <c r="K226" s="1042"/>
      <c r="L226" s="1042"/>
      <c r="M226" s="1042"/>
      <c r="N226" s="1042"/>
      <c r="O226" s="1042"/>
      <c r="P226" s="1042"/>
      <c r="Q226" s="1042"/>
      <c r="R226" s="1038"/>
      <c r="S226" s="1039"/>
      <c r="T226" s="1032"/>
      <c r="U226" s="1032"/>
      <c r="V226" s="1032"/>
      <c r="W226" s="1032"/>
      <c r="X226" s="1032"/>
    </row>
    <row r="227" spans="1:24" ht="21" customHeight="1" hidden="1">
      <c r="A227" s="1033"/>
      <c r="B227" s="1034"/>
      <c r="C227" s="1035"/>
      <c r="D227" s="1057" t="s">
        <v>668</v>
      </c>
      <c r="E227" s="1036">
        <v>12</v>
      </c>
      <c r="F227" s="1036">
        <f t="shared" si="2"/>
        <v>0</v>
      </c>
      <c r="G227" s="1042"/>
      <c r="H227" s="1042"/>
      <c r="I227" s="1042"/>
      <c r="J227" s="1042"/>
      <c r="K227" s="1042"/>
      <c r="L227" s="1042"/>
      <c r="M227" s="1042"/>
      <c r="N227" s="1042"/>
      <c r="O227" s="1042"/>
      <c r="P227" s="1042"/>
      <c r="Q227" s="1042"/>
      <c r="R227" s="1038"/>
      <c r="S227" s="1039"/>
      <c r="T227" s="1032"/>
      <c r="U227" s="1032"/>
      <c r="V227" s="1032"/>
      <c r="W227" s="1032"/>
      <c r="X227" s="1032"/>
    </row>
    <row r="228" spans="1:24" ht="21" customHeight="1">
      <c r="A228" s="1033"/>
      <c r="B228" s="1034"/>
      <c r="C228" s="1035"/>
      <c r="D228" s="1057" t="s">
        <v>733</v>
      </c>
      <c r="E228" s="1036">
        <f>E227+3451</f>
        <v>3463</v>
      </c>
      <c r="F228" s="1036">
        <f t="shared" si="2"/>
        <v>0</v>
      </c>
      <c r="G228" s="1042"/>
      <c r="H228" s="1042"/>
      <c r="I228" s="1042"/>
      <c r="J228" s="1042"/>
      <c r="K228" s="1042"/>
      <c r="L228" s="1042"/>
      <c r="M228" s="1042"/>
      <c r="N228" s="1042"/>
      <c r="O228" s="1042"/>
      <c r="P228" s="1042"/>
      <c r="Q228" s="1042"/>
      <c r="R228" s="1038"/>
      <c r="S228" s="1039"/>
      <c r="T228" s="1032"/>
      <c r="U228" s="1032"/>
      <c r="V228" s="1032"/>
      <c r="W228" s="1032"/>
      <c r="X228" s="1032"/>
    </row>
    <row r="229" spans="1:24" ht="21" customHeight="1">
      <c r="A229" s="1033"/>
      <c r="B229" s="1034"/>
      <c r="C229" s="1035"/>
      <c r="D229" s="1057" t="s">
        <v>799</v>
      </c>
      <c r="E229" s="1036">
        <v>6844</v>
      </c>
      <c r="F229" s="1036">
        <v>0</v>
      </c>
      <c r="G229" s="1042"/>
      <c r="H229" s="1042"/>
      <c r="I229" s="1042"/>
      <c r="J229" s="1042"/>
      <c r="K229" s="1042"/>
      <c r="L229" s="1042"/>
      <c r="M229" s="1042"/>
      <c r="N229" s="1042"/>
      <c r="O229" s="1042"/>
      <c r="P229" s="1042"/>
      <c r="Q229" s="1042"/>
      <c r="R229" s="1038"/>
      <c r="S229" s="1039"/>
      <c r="T229" s="1032"/>
      <c r="U229" s="1032"/>
      <c r="V229" s="1032"/>
      <c r="W229" s="1032"/>
      <c r="X229" s="1032"/>
    </row>
    <row r="230" spans="1:24" ht="21" customHeight="1">
      <c r="A230" s="1033" t="s">
        <v>317</v>
      </c>
      <c r="B230" s="1034" t="s">
        <v>407</v>
      </c>
      <c r="C230" s="1035" t="s">
        <v>408</v>
      </c>
      <c r="D230" s="1041" t="s">
        <v>4</v>
      </c>
      <c r="E230" s="1036"/>
      <c r="F230" s="1036">
        <f t="shared" si="2"/>
        <v>0</v>
      </c>
      <c r="G230" s="1037"/>
      <c r="H230" s="1037"/>
      <c r="I230" s="1037"/>
      <c r="J230" s="1037"/>
      <c r="K230" s="1037"/>
      <c r="L230" s="1037"/>
      <c r="M230" s="1037"/>
      <c r="N230" s="1037"/>
      <c r="O230" s="1037"/>
      <c r="P230" s="1037"/>
      <c r="Q230" s="1037"/>
      <c r="R230" s="1038"/>
      <c r="S230" s="1039"/>
      <c r="T230" s="1032"/>
      <c r="U230" s="1032"/>
      <c r="V230" s="1032"/>
      <c r="W230" s="1032"/>
      <c r="X230" s="1032"/>
    </row>
    <row r="231" spans="1:24" ht="21" customHeight="1" hidden="1">
      <c r="A231" s="1033"/>
      <c r="B231" s="1034"/>
      <c r="C231" s="1035"/>
      <c r="D231" s="1057" t="s">
        <v>668</v>
      </c>
      <c r="E231" s="1036"/>
      <c r="F231" s="1036">
        <f t="shared" si="2"/>
        <v>0</v>
      </c>
      <c r="G231" s="1037"/>
      <c r="H231" s="1037"/>
      <c r="I231" s="1037"/>
      <c r="J231" s="1037"/>
      <c r="K231" s="1037"/>
      <c r="L231" s="1037"/>
      <c r="M231" s="1037"/>
      <c r="N231" s="1037"/>
      <c r="O231" s="1037"/>
      <c r="P231" s="1037"/>
      <c r="Q231" s="1037"/>
      <c r="R231" s="1038"/>
      <c r="S231" s="1039"/>
      <c r="T231" s="1032"/>
      <c r="U231" s="1032"/>
      <c r="V231" s="1032"/>
      <c r="W231" s="1032"/>
      <c r="X231" s="1032"/>
    </row>
    <row r="232" spans="1:24" ht="21" customHeight="1">
      <c r="A232" s="1033"/>
      <c r="B232" s="1034"/>
      <c r="C232" s="1035"/>
      <c r="D232" s="1057" t="s">
        <v>733</v>
      </c>
      <c r="E232" s="1036"/>
      <c r="F232" s="1036">
        <f t="shared" si="2"/>
        <v>0</v>
      </c>
      <c r="G232" s="1037"/>
      <c r="H232" s="1037"/>
      <c r="I232" s="1037"/>
      <c r="J232" s="1037"/>
      <c r="K232" s="1037"/>
      <c r="L232" s="1037"/>
      <c r="M232" s="1037"/>
      <c r="N232" s="1037"/>
      <c r="O232" s="1037"/>
      <c r="P232" s="1037"/>
      <c r="Q232" s="1037"/>
      <c r="R232" s="1038"/>
      <c r="S232" s="1039"/>
      <c r="T232" s="1032"/>
      <c r="U232" s="1032"/>
      <c r="V232" s="1032"/>
      <c r="W232" s="1032"/>
      <c r="X232" s="1032"/>
    </row>
    <row r="233" spans="1:24" ht="21" customHeight="1">
      <c r="A233" s="1033"/>
      <c r="B233" s="1034"/>
      <c r="C233" s="1035"/>
      <c r="D233" s="1057" t="s">
        <v>799</v>
      </c>
      <c r="E233" s="1036"/>
      <c r="F233" s="1036"/>
      <c r="G233" s="1037"/>
      <c r="H233" s="1037"/>
      <c r="I233" s="1037"/>
      <c r="J233" s="1037"/>
      <c r="K233" s="1037"/>
      <c r="L233" s="1037"/>
      <c r="M233" s="1037"/>
      <c r="N233" s="1037"/>
      <c r="O233" s="1037"/>
      <c r="P233" s="1037"/>
      <c r="Q233" s="1037"/>
      <c r="R233" s="1038"/>
      <c r="S233" s="1039"/>
      <c r="T233" s="1032"/>
      <c r="U233" s="1032"/>
      <c r="V233" s="1032"/>
      <c r="W233" s="1032"/>
      <c r="X233" s="1032"/>
    </row>
    <row r="234" spans="1:19" s="1032" customFormat="1" ht="21" customHeight="1">
      <c r="A234" s="1033" t="s">
        <v>317</v>
      </c>
      <c r="B234" s="1034" t="s">
        <v>407</v>
      </c>
      <c r="C234" s="1035" t="s">
        <v>409</v>
      </c>
      <c r="D234" s="1041" t="s">
        <v>4</v>
      </c>
      <c r="E234" s="1036"/>
      <c r="F234" s="1036">
        <f t="shared" si="2"/>
        <v>0</v>
      </c>
      <c r="G234" s="1042"/>
      <c r="H234" s="1042"/>
      <c r="I234" s="1042"/>
      <c r="J234" s="1042"/>
      <c r="K234" s="1042"/>
      <c r="L234" s="1042"/>
      <c r="M234" s="1042"/>
      <c r="N234" s="1042"/>
      <c r="O234" s="1044"/>
      <c r="P234" s="1042"/>
      <c r="Q234" s="1042"/>
      <c r="R234" s="1038"/>
      <c r="S234" s="1039"/>
    </row>
    <row r="235" spans="1:19" ht="21" customHeight="1" hidden="1">
      <c r="A235" s="1033"/>
      <c r="B235" s="1034"/>
      <c r="C235" s="1035"/>
      <c r="D235" s="1057" t="s">
        <v>668</v>
      </c>
      <c r="E235" s="1036"/>
      <c r="F235" s="1036">
        <f t="shared" si="2"/>
        <v>0</v>
      </c>
      <c r="G235" s="1042"/>
      <c r="H235" s="1042"/>
      <c r="I235" s="1042"/>
      <c r="J235" s="1042"/>
      <c r="K235" s="1042"/>
      <c r="L235" s="1042"/>
      <c r="M235" s="1042"/>
      <c r="N235" s="1042"/>
      <c r="O235" s="1044"/>
      <c r="P235" s="1042"/>
      <c r="Q235" s="1042"/>
      <c r="R235" s="1038"/>
      <c r="S235" s="1039"/>
    </row>
    <row r="236" spans="1:19" ht="21" customHeight="1">
      <c r="A236" s="1033"/>
      <c r="B236" s="1034"/>
      <c r="C236" s="1035"/>
      <c r="D236" s="1057" t="s">
        <v>733</v>
      </c>
      <c r="E236" s="1036"/>
      <c r="F236" s="1036">
        <f t="shared" si="2"/>
        <v>0</v>
      </c>
      <c r="G236" s="1042"/>
      <c r="H236" s="1042"/>
      <c r="I236" s="1042"/>
      <c r="J236" s="1042"/>
      <c r="K236" s="1042"/>
      <c r="L236" s="1042"/>
      <c r="M236" s="1042"/>
      <c r="N236" s="1042"/>
      <c r="O236" s="1044"/>
      <c r="P236" s="1042"/>
      <c r="Q236" s="1042"/>
      <c r="R236" s="1038"/>
      <c r="S236" s="1039"/>
    </row>
    <row r="237" spans="1:19" ht="21" customHeight="1">
      <c r="A237" s="1033"/>
      <c r="B237" s="1034"/>
      <c r="C237" s="1035"/>
      <c r="D237" s="1057" t="s">
        <v>799</v>
      </c>
      <c r="E237" s="1036"/>
      <c r="F237" s="1036">
        <v>0</v>
      </c>
      <c r="G237" s="1042"/>
      <c r="H237" s="1042"/>
      <c r="I237" s="1042"/>
      <c r="J237" s="1042"/>
      <c r="K237" s="1042"/>
      <c r="L237" s="1042"/>
      <c r="M237" s="1042"/>
      <c r="N237" s="1042"/>
      <c r="O237" s="1044"/>
      <c r="P237" s="1042"/>
      <c r="Q237" s="1042"/>
      <c r="R237" s="1038"/>
      <c r="S237" s="1039"/>
    </row>
    <row r="238" spans="1:24" ht="21" customHeight="1">
      <c r="A238" s="1033" t="s">
        <v>317</v>
      </c>
      <c r="B238" s="1034" t="s">
        <v>410</v>
      </c>
      <c r="C238" s="1035" t="s">
        <v>411</v>
      </c>
      <c r="D238" s="1041" t="s">
        <v>4</v>
      </c>
      <c r="E238" s="1036">
        <v>0</v>
      </c>
      <c r="F238" s="1036">
        <f t="shared" si="2"/>
        <v>0</v>
      </c>
      <c r="G238" s="1042"/>
      <c r="H238" s="1042"/>
      <c r="I238" s="1042"/>
      <c r="J238" s="1042"/>
      <c r="K238" s="1042"/>
      <c r="L238" s="1042"/>
      <c r="M238" s="1042"/>
      <c r="N238" s="1042"/>
      <c r="O238" s="1044"/>
      <c r="P238" s="1042"/>
      <c r="Q238" s="1042"/>
      <c r="R238" s="1038"/>
      <c r="S238" s="1039"/>
      <c r="T238" s="1032"/>
      <c r="U238" s="1032"/>
      <c r="V238" s="1032"/>
      <c r="W238" s="1032"/>
      <c r="X238" s="1032"/>
    </row>
    <row r="239" spans="1:24" ht="21" customHeight="1" hidden="1">
      <c r="A239" s="1033"/>
      <c r="B239" s="1034"/>
      <c r="C239" s="1035"/>
      <c r="D239" s="1057" t="s">
        <v>668</v>
      </c>
      <c r="E239" s="1036"/>
      <c r="F239" s="1036">
        <f t="shared" si="2"/>
        <v>0</v>
      </c>
      <c r="G239" s="1042"/>
      <c r="H239" s="1042"/>
      <c r="I239" s="1042"/>
      <c r="J239" s="1042"/>
      <c r="K239" s="1042"/>
      <c r="L239" s="1042"/>
      <c r="M239" s="1042"/>
      <c r="N239" s="1042"/>
      <c r="O239" s="1044"/>
      <c r="P239" s="1042"/>
      <c r="Q239" s="1042"/>
      <c r="R239" s="1038"/>
      <c r="S239" s="1039"/>
      <c r="T239" s="1032"/>
      <c r="U239" s="1032"/>
      <c r="V239" s="1032"/>
      <c r="W239" s="1032"/>
      <c r="X239" s="1032"/>
    </row>
    <row r="240" spans="1:24" ht="21" customHeight="1">
      <c r="A240" s="1033"/>
      <c r="B240" s="1034"/>
      <c r="C240" s="1035"/>
      <c r="D240" s="1057" t="s">
        <v>733</v>
      </c>
      <c r="E240" s="1036"/>
      <c r="F240" s="1036">
        <f t="shared" si="2"/>
        <v>0</v>
      </c>
      <c r="G240" s="1042"/>
      <c r="H240" s="1042"/>
      <c r="I240" s="1042"/>
      <c r="J240" s="1042"/>
      <c r="K240" s="1042"/>
      <c r="L240" s="1042"/>
      <c r="M240" s="1042"/>
      <c r="N240" s="1042"/>
      <c r="O240" s="1044"/>
      <c r="P240" s="1042"/>
      <c r="Q240" s="1042"/>
      <c r="R240" s="1038"/>
      <c r="S240" s="1039"/>
      <c r="T240" s="1032"/>
      <c r="U240" s="1032"/>
      <c r="V240" s="1032"/>
      <c r="W240" s="1032"/>
      <c r="X240" s="1032"/>
    </row>
    <row r="241" spans="1:24" ht="21" customHeight="1">
      <c r="A241" s="1033"/>
      <c r="B241" s="1034"/>
      <c r="C241" s="1035"/>
      <c r="D241" s="1057" t="s">
        <v>799</v>
      </c>
      <c r="E241" s="1036"/>
      <c r="F241" s="1036">
        <v>0</v>
      </c>
      <c r="G241" s="1042"/>
      <c r="H241" s="1042"/>
      <c r="I241" s="1042"/>
      <c r="J241" s="1042"/>
      <c r="K241" s="1042"/>
      <c r="L241" s="1042"/>
      <c r="M241" s="1042"/>
      <c r="N241" s="1042"/>
      <c r="O241" s="1044"/>
      <c r="P241" s="1042"/>
      <c r="Q241" s="1042"/>
      <c r="R241" s="1038"/>
      <c r="S241" s="1039"/>
      <c r="T241" s="1032"/>
      <c r="U241" s="1032"/>
      <c r="V241" s="1032"/>
      <c r="W241" s="1032"/>
      <c r="X241" s="1032"/>
    </row>
    <row r="242" spans="1:24" ht="21" customHeight="1">
      <c r="A242" s="1033" t="s">
        <v>317</v>
      </c>
      <c r="B242" s="1034" t="s">
        <v>412</v>
      </c>
      <c r="C242" s="1035" t="s">
        <v>413</v>
      </c>
      <c r="D242" s="1041" t="s">
        <v>4</v>
      </c>
      <c r="E242" s="1036">
        <v>29000</v>
      </c>
      <c r="F242" s="1036">
        <f t="shared" si="2"/>
        <v>55992</v>
      </c>
      <c r="G242" s="1037"/>
      <c r="H242" s="1037"/>
      <c r="I242" s="1037">
        <v>55992</v>
      </c>
      <c r="J242" s="1037"/>
      <c r="K242" s="1037"/>
      <c r="L242" s="1037"/>
      <c r="M242" s="1037"/>
      <c r="N242" s="1037"/>
      <c r="O242" s="1037"/>
      <c r="P242" s="1037"/>
      <c r="Q242" s="1037"/>
      <c r="R242" s="1038"/>
      <c r="S242" s="1039"/>
      <c r="T242" s="1032"/>
      <c r="U242" s="1032"/>
      <c r="V242" s="1032"/>
      <c r="W242" s="1032"/>
      <c r="X242" s="1032"/>
    </row>
    <row r="243" spans="1:24" ht="21" customHeight="1" hidden="1">
      <c r="A243" s="1033"/>
      <c r="B243" s="1034"/>
      <c r="C243" s="1035"/>
      <c r="D243" s="1057" t="s">
        <v>668</v>
      </c>
      <c r="E243" s="1036">
        <v>29000</v>
      </c>
      <c r="F243" s="1036">
        <f t="shared" si="2"/>
        <v>55992</v>
      </c>
      <c r="G243" s="1037"/>
      <c r="H243" s="1037"/>
      <c r="I243" s="1037">
        <v>55992</v>
      </c>
      <c r="J243" s="1037"/>
      <c r="K243" s="1037"/>
      <c r="L243" s="1037"/>
      <c r="M243" s="1037"/>
      <c r="N243" s="1037"/>
      <c r="O243" s="1037"/>
      <c r="P243" s="1037"/>
      <c r="Q243" s="1037"/>
      <c r="R243" s="1038"/>
      <c r="S243" s="1039"/>
      <c r="T243" s="1032"/>
      <c r="U243" s="1032"/>
      <c r="V243" s="1032"/>
      <c r="W243" s="1032"/>
      <c r="X243" s="1032"/>
    </row>
    <row r="244" spans="1:24" ht="21" customHeight="1">
      <c r="A244" s="1033"/>
      <c r="B244" s="1034"/>
      <c r="C244" s="1035"/>
      <c r="D244" s="1057" t="s">
        <v>733</v>
      </c>
      <c r="E244" s="1036">
        <v>29000</v>
      </c>
      <c r="F244" s="1036">
        <f t="shared" si="2"/>
        <v>55992</v>
      </c>
      <c r="G244" s="1037"/>
      <c r="H244" s="1037"/>
      <c r="I244" s="1037">
        <v>55992</v>
      </c>
      <c r="J244" s="1037"/>
      <c r="K244" s="1037"/>
      <c r="L244" s="1037"/>
      <c r="M244" s="1037"/>
      <c r="N244" s="1037"/>
      <c r="O244" s="1037"/>
      <c r="P244" s="1037"/>
      <c r="Q244" s="1037"/>
      <c r="R244" s="1038"/>
      <c r="S244" s="1039"/>
      <c r="T244" s="1032"/>
      <c r="U244" s="1032"/>
      <c r="V244" s="1032"/>
      <c r="W244" s="1032"/>
      <c r="X244" s="1032"/>
    </row>
    <row r="245" spans="1:24" ht="21" customHeight="1">
      <c r="A245" s="1033"/>
      <c r="B245" s="1034"/>
      <c r="C245" s="1035"/>
      <c r="D245" s="1057" t="s">
        <v>799</v>
      </c>
      <c r="E245" s="1036">
        <v>29000</v>
      </c>
      <c r="F245" s="1036">
        <f t="shared" si="2"/>
        <v>55992</v>
      </c>
      <c r="G245" s="1037"/>
      <c r="H245" s="1037"/>
      <c r="I245" s="1037">
        <v>55992</v>
      </c>
      <c r="J245" s="1037"/>
      <c r="K245" s="1037"/>
      <c r="L245" s="1037"/>
      <c r="M245" s="1037"/>
      <c r="N245" s="1037"/>
      <c r="O245" s="1037"/>
      <c r="P245" s="1037"/>
      <c r="Q245" s="1037"/>
      <c r="R245" s="1038"/>
      <c r="S245" s="1039"/>
      <c r="T245" s="1032"/>
      <c r="U245" s="1032"/>
      <c r="V245" s="1032"/>
      <c r="W245" s="1032"/>
      <c r="X245" s="1032"/>
    </row>
    <row r="246" spans="1:24" ht="21" customHeight="1">
      <c r="A246" s="1033" t="s">
        <v>317</v>
      </c>
      <c r="B246" s="1034" t="s">
        <v>414</v>
      </c>
      <c r="C246" s="1035" t="s">
        <v>415</v>
      </c>
      <c r="D246" s="1041" t="s">
        <v>4</v>
      </c>
      <c r="E246" s="1036"/>
      <c r="F246" s="1036">
        <f t="shared" si="2"/>
        <v>0</v>
      </c>
      <c r="G246" s="1042"/>
      <c r="H246" s="1042"/>
      <c r="I246" s="1042"/>
      <c r="J246" s="1042"/>
      <c r="K246" s="1042"/>
      <c r="L246" s="1042"/>
      <c r="M246" s="1042"/>
      <c r="N246" s="1042"/>
      <c r="O246" s="1042"/>
      <c r="P246" s="1042"/>
      <c r="Q246" s="1042"/>
      <c r="R246" s="1038"/>
      <c r="S246" s="1039"/>
      <c r="T246" s="1032"/>
      <c r="U246" s="1032"/>
      <c r="V246" s="1032"/>
      <c r="W246" s="1032"/>
      <c r="X246" s="1032"/>
    </row>
    <row r="247" spans="1:24" ht="21" customHeight="1" hidden="1">
      <c r="A247" s="1033"/>
      <c r="B247" s="1034"/>
      <c r="C247" s="1035"/>
      <c r="D247" s="1057" t="s">
        <v>668</v>
      </c>
      <c r="E247" s="1036"/>
      <c r="F247" s="1036">
        <f t="shared" si="2"/>
        <v>0</v>
      </c>
      <c r="G247" s="1042"/>
      <c r="H247" s="1042"/>
      <c r="I247" s="1042"/>
      <c r="J247" s="1042"/>
      <c r="K247" s="1042"/>
      <c r="L247" s="1042"/>
      <c r="M247" s="1042"/>
      <c r="N247" s="1042"/>
      <c r="O247" s="1042"/>
      <c r="P247" s="1042"/>
      <c r="Q247" s="1042"/>
      <c r="R247" s="1038"/>
      <c r="S247" s="1039"/>
      <c r="T247" s="1032"/>
      <c r="U247" s="1032"/>
      <c r="V247" s="1032"/>
      <c r="W247" s="1032"/>
      <c r="X247" s="1032"/>
    </row>
    <row r="248" spans="1:24" ht="21" customHeight="1">
      <c r="A248" s="1033"/>
      <c r="B248" s="1034"/>
      <c r="C248" s="1035"/>
      <c r="D248" s="1057" t="s">
        <v>733</v>
      </c>
      <c r="E248" s="1036"/>
      <c r="F248" s="1036">
        <f t="shared" si="2"/>
        <v>0</v>
      </c>
      <c r="G248" s="1042"/>
      <c r="H248" s="1042"/>
      <c r="I248" s="1042"/>
      <c r="J248" s="1042"/>
      <c r="K248" s="1042"/>
      <c r="L248" s="1042"/>
      <c r="M248" s="1042"/>
      <c r="N248" s="1042"/>
      <c r="O248" s="1042"/>
      <c r="P248" s="1042"/>
      <c r="Q248" s="1042"/>
      <c r="R248" s="1038"/>
      <c r="S248" s="1039"/>
      <c r="T248" s="1032"/>
      <c r="U248" s="1032"/>
      <c r="V248" s="1032"/>
      <c r="W248" s="1032"/>
      <c r="X248" s="1032"/>
    </row>
    <row r="249" spans="1:24" ht="21" customHeight="1">
      <c r="A249" s="1033"/>
      <c r="B249" s="1034"/>
      <c r="C249" s="1035"/>
      <c r="D249" s="1057" t="s">
        <v>799</v>
      </c>
      <c r="E249" s="1036"/>
      <c r="F249" s="1036">
        <v>0</v>
      </c>
      <c r="G249" s="1042"/>
      <c r="H249" s="1042"/>
      <c r="I249" s="1042"/>
      <c r="J249" s="1042"/>
      <c r="K249" s="1042"/>
      <c r="L249" s="1042"/>
      <c r="M249" s="1042"/>
      <c r="N249" s="1042"/>
      <c r="O249" s="1042"/>
      <c r="P249" s="1042"/>
      <c r="Q249" s="1042"/>
      <c r="R249" s="1038"/>
      <c r="S249" s="1039"/>
      <c r="T249" s="1032"/>
      <c r="U249" s="1032"/>
      <c r="V249" s="1032"/>
      <c r="W249" s="1032"/>
      <c r="X249" s="1032"/>
    </row>
    <row r="250" spans="1:24" ht="21" customHeight="1">
      <c r="A250" s="1033" t="s">
        <v>320</v>
      </c>
      <c r="B250" s="1034" t="s">
        <v>414</v>
      </c>
      <c r="C250" s="1035" t="s">
        <v>415</v>
      </c>
      <c r="D250" s="1041" t="s">
        <v>4</v>
      </c>
      <c r="E250" s="1036">
        <v>0</v>
      </c>
      <c r="F250" s="1036">
        <f t="shared" si="2"/>
        <v>0</v>
      </c>
      <c r="G250" s="1042"/>
      <c r="H250" s="1042"/>
      <c r="I250" s="1042"/>
      <c r="J250" s="1042"/>
      <c r="K250" s="1042"/>
      <c r="L250" s="1042"/>
      <c r="M250" s="1042"/>
      <c r="N250" s="1042"/>
      <c r="O250" s="1042"/>
      <c r="P250" s="1042"/>
      <c r="Q250" s="1042"/>
      <c r="R250" s="1038"/>
      <c r="S250" s="1039"/>
      <c r="T250" s="1032"/>
      <c r="U250" s="1032"/>
      <c r="V250" s="1032"/>
      <c r="W250" s="1032"/>
      <c r="X250" s="1032"/>
    </row>
    <row r="251" spans="1:24" ht="21" customHeight="1" hidden="1">
      <c r="A251" s="1033"/>
      <c r="B251" s="1034"/>
      <c r="C251" s="1035"/>
      <c r="D251" s="1057" t="s">
        <v>668</v>
      </c>
      <c r="E251" s="1036"/>
      <c r="F251" s="1036">
        <f t="shared" si="2"/>
        <v>0</v>
      </c>
      <c r="G251" s="1042"/>
      <c r="H251" s="1042"/>
      <c r="I251" s="1042"/>
      <c r="J251" s="1042"/>
      <c r="K251" s="1042"/>
      <c r="L251" s="1042"/>
      <c r="M251" s="1042"/>
      <c r="N251" s="1042"/>
      <c r="O251" s="1042"/>
      <c r="P251" s="1042"/>
      <c r="Q251" s="1042"/>
      <c r="R251" s="1038"/>
      <c r="S251" s="1039"/>
      <c r="T251" s="1032"/>
      <c r="U251" s="1032"/>
      <c r="V251" s="1032"/>
      <c r="W251" s="1032"/>
      <c r="X251" s="1032"/>
    </row>
    <row r="252" spans="1:24" ht="21" customHeight="1">
      <c r="A252" s="1033"/>
      <c r="B252" s="1034"/>
      <c r="C252" s="1035"/>
      <c r="D252" s="1057" t="s">
        <v>733</v>
      </c>
      <c r="E252" s="1036"/>
      <c r="F252" s="1036">
        <f t="shared" si="2"/>
        <v>0</v>
      </c>
      <c r="G252" s="1042"/>
      <c r="H252" s="1042"/>
      <c r="I252" s="1042"/>
      <c r="J252" s="1042"/>
      <c r="K252" s="1042"/>
      <c r="L252" s="1042"/>
      <c r="M252" s="1042"/>
      <c r="N252" s="1042"/>
      <c r="O252" s="1042"/>
      <c r="P252" s="1042"/>
      <c r="Q252" s="1042"/>
      <c r="R252" s="1038"/>
      <c r="S252" s="1039"/>
      <c r="T252" s="1032"/>
      <c r="U252" s="1032"/>
      <c r="V252" s="1032"/>
      <c r="W252" s="1032"/>
      <c r="X252" s="1032"/>
    </row>
    <row r="253" spans="1:24" ht="21" customHeight="1">
      <c r="A253" s="1033"/>
      <c r="B253" s="1034"/>
      <c r="C253" s="1035"/>
      <c r="D253" s="1057" t="s">
        <v>799</v>
      </c>
      <c r="E253" s="1036"/>
      <c r="F253" s="1036">
        <v>0</v>
      </c>
      <c r="G253" s="1042"/>
      <c r="H253" s="1042"/>
      <c r="I253" s="1042"/>
      <c r="J253" s="1042"/>
      <c r="K253" s="1042"/>
      <c r="L253" s="1042"/>
      <c r="M253" s="1042"/>
      <c r="N253" s="1042"/>
      <c r="O253" s="1042"/>
      <c r="P253" s="1042"/>
      <c r="Q253" s="1042"/>
      <c r="R253" s="1038"/>
      <c r="S253" s="1039"/>
      <c r="T253" s="1032"/>
      <c r="U253" s="1032"/>
      <c r="V253" s="1032"/>
      <c r="W253" s="1032"/>
      <c r="X253" s="1032"/>
    </row>
    <row r="254" spans="1:24" ht="21" customHeight="1">
      <c r="A254" s="1033" t="s">
        <v>320</v>
      </c>
      <c r="B254" s="1034" t="s">
        <v>414</v>
      </c>
      <c r="C254" s="1035" t="s">
        <v>415</v>
      </c>
      <c r="D254" s="1041" t="s">
        <v>4</v>
      </c>
      <c r="E254" s="1036"/>
      <c r="F254" s="1036">
        <f t="shared" si="2"/>
        <v>0</v>
      </c>
      <c r="G254" s="1042"/>
      <c r="H254" s="1042"/>
      <c r="I254" s="1042"/>
      <c r="J254" s="1042"/>
      <c r="K254" s="1042"/>
      <c r="L254" s="1042"/>
      <c r="M254" s="1042"/>
      <c r="N254" s="1042"/>
      <c r="O254" s="1042"/>
      <c r="P254" s="1042"/>
      <c r="Q254" s="1042"/>
      <c r="R254" s="1038"/>
      <c r="S254" s="1039"/>
      <c r="T254" s="1032"/>
      <c r="U254" s="1032"/>
      <c r="V254" s="1032"/>
      <c r="W254" s="1032"/>
      <c r="X254" s="1032"/>
    </row>
    <row r="255" spans="1:24" ht="21" customHeight="1" hidden="1">
      <c r="A255" s="1033"/>
      <c r="B255" s="1034"/>
      <c r="C255" s="1035"/>
      <c r="D255" s="1057" t="s">
        <v>668</v>
      </c>
      <c r="E255" s="1036"/>
      <c r="F255" s="1036">
        <f t="shared" si="2"/>
        <v>0</v>
      </c>
      <c r="G255" s="1042"/>
      <c r="H255" s="1042"/>
      <c r="I255" s="1042"/>
      <c r="J255" s="1042"/>
      <c r="K255" s="1042"/>
      <c r="L255" s="1042"/>
      <c r="M255" s="1042"/>
      <c r="N255" s="1042"/>
      <c r="O255" s="1042"/>
      <c r="P255" s="1042"/>
      <c r="Q255" s="1042"/>
      <c r="R255" s="1038"/>
      <c r="S255" s="1039"/>
      <c r="T255" s="1032"/>
      <c r="U255" s="1032"/>
      <c r="V255" s="1032"/>
      <c r="W255" s="1032"/>
      <c r="X255" s="1032"/>
    </row>
    <row r="256" spans="1:24" ht="21" customHeight="1">
      <c r="A256" s="1033"/>
      <c r="B256" s="1034"/>
      <c r="C256" s="1035"/>
      <c r="D256" s="1057" t="s">
        <v>733</v>
      </c>
      <c r="E256" s="1036"/>
      <c r="F256" s="1036">
        <f t="shared" si="2"/>
        <v>0</v>
      </c>
      <c r="G256" s="1042"/>
      <c r="H256" s="1042"/>
      <c r="I256" s="1042"/>
      <c r="J256" s="1042"/>
      <c r="K256" s="1042"/>
      <c r="L256" s="1042"/>
      <c r="M256" s="1042"/>
      <c r="N256" s="1042"/>
      <c r="O256" s="1042"/>
      <c r="P256" s="1042"/>
      <c r="Q256" s="1042"/>
      <c r="R256" s="1038"/>
      <c r="S256" s="1039"/>
      <c r="T256" s="1032"/>
      <c r="U256" s="1032"/>
      <c r="V256" s="1032"/>
      <c r="W256" s="1032"/>
      <c r="X256" s="1032"/>
    </row>
    <row r="257" spans="1:24" ht="21" customHeight="1">
      <c r="A257" s="1033"/>
      <c r="B257" s="1034"/>
      <c r="C257" s="1035"/>
      <c r="D257" s="1057" t="s">
        <v>799</v>
      </c>
      <c r="E257" s="1036"/>
      <c r="F257" s="1036">
        <v>0</v>
      </c>
      <c r="G257" s="1042"/>
      <c r="H257" s="1042"/>
      <c r="I257" s="1042"/>
      <c r="J257" s="1042"/>
      <c r="K257" s="1042"/>
      <c r="L257" s="1042"/>
      <c r="M257" s="1042"/>
      <c r="N257" s="1042"/>
      <c r="O257" s="1042"/>
      <c r="P257" s="1042"/>
      <c r="Q257" s="1042"/>
      <c r="R257" s="1038"/>
      <c r="S257" s="1039"/>
      <c r="T257" s="1032"/>
      <c r="U257" s="1032"/>
      <c r="V257" s="1032"/>
      <c r="W257" s="1032"/>
      <c r="X257" s="1032"/>
    </row>
    <row r="258" spans="1:24" ht="21" customHeight="1">
      <c r="A258" s="1033" t="s">
        <v>317</v>
      </c>
      <c r="B258" s="1034" t="s">
        <v>416</v>
      </c>
      <c r="C258" s="1035" t="s">
        <v>417</v>
      </c>
      <c r="D258" s="1041" t="s">
        <v>4</v>
      </c>
      <c r="E258" s="1036"/>
      <c r="F258" s="1036">
        <f t="shared" si="2"/>
        <v>39974</v>
      </c>
      <c r="G258" s="1042"/>
      <c r="H258" s="1042"/>
      <c r="I258" s="1042"/>
      <c r="J258" s="1042"/>
      <c r="K258" s="1042">
        <v>39974</v>
      </c>
      <c r="L258" s="1042"/>
      <c r="M258" s="1042"/>
      <c r="N258" s="1042"/>
      <c r="O258" s="1042"/>
      <c r="P258" s="1042"/>
      <c r="Q258" s="1042"/>
      <c r="R258" s="1038"/>
      <c r="S258" s="1039"/>
      <c r="T258" s="1032"/>
      <c r="U258" s="1032"/>
      <c r="V258" s="1032"/>
      <c r="W258" s="1032"/>
      <c r="X258" s="1032"/>
    </row>
    <row r="259" spans="1:24" ht="21" customHeight="1" hidden="1">
      <c r="A259" s="1033"/>
      <c r="B259" s="1034"/>
      <c r="C259" s="1035"/>
      <c r="D259" s="1057" t="s">
        <v>668</v>
      </c>
      <c r="E259" s="1036"/>
      <c r="F259" s="1036">
        <f t="shared" si="2"/>
        <v>38973</v>
      </c>
      <c r="G259" s="1042"/>
      <c r="H259" s="1042"/>
      <c r="I259" s="1042"/>
      <c r="J259" s="1042"/>
      <c r="K259" s="1042">
        <v>38973</v>
      </c>
      <c r="L259" s="1042"/>
      <c r="M259" s="1042"/>
      <c r="N259" s="1042"/>
      <c r="O259" s="1042"/>
      <c r="P259" s="1042"/>
      <c r="Q259" s="1042"/>
      <c r="R259" s="1038"/>
      <c r="S259" s="1039"/>
      <c r="T259" s="1032"/>
      <c r="U259" s="1032"/>
      <c r="V259" s="1032"/>
      <c r="W259" s="1032"/>
      <c r="X259" s="1032"/>
    </row>
    <row r="260" spans="1:24" ht="21" customHeight="1">
      <c r="A260" s="1033"/>
      <c r="B260" s="1034"/>
      <c r="C260" s="1035"/>
      <c r="D260" s="1057" t="s">
        <v>733</v>
      </c>
      <c r="E260" s="1036">
        <v>128</v>
      </c>
      <c r="F260" s="1036">
        <f t="shared" si="2"/>
        <v>36048</v>
      </c>
      <c r="G260" s="1042"/>
      <c r="H260" s="1042"/>
      <c r="I260" s="1042">
        <v>27</v>
      </c>
      <c r="J260" s="1042"/>
      <c r="K260" s="1042">
        <f>K259-2952</f>
        <v>36021</v>
      </c>
      <c r="L260" s="1042"/>
      <c r="M260" s="1042"/>
      <c r="N260" s="1042"/>
      <c r="O260" s="1042"/>
      <c r="P260" s="1042"/>
      <c r="Q260" s="1042"/>
      <c r="R260" s="1038"/>
      <c r="S260" s="1039"/>
      <c r="T260" s="1032"/>
      <c r="U260" s="1032"/>
      <c r="V260" s="1032"/>
      <c r="W260" s="1032"/>
      <c r="X260" s="1032"/>
    </row>
    <row r="261" spans="1:24" ht="21" customHeight="1">
      <c r="A261" s="1033"/>
      <c r="B261" s="1034"/>
      <c r="C261" s="1035"/>
      <c r="D261" s="1057" t="s">
        <v>799</v>
      </c>
      <c r="E261" s="1036">
        <v>128</v>
      </c>
      <c r="F261" s="1036">
        <f>SUM(G261:R261)</f>
        <v>36074</v>
      </c>
      <c r="G261" s="1042"/>
      <c r="H261" s="1042"/>
      <c r="I261" s="1042">
        <v>27</v>
      </c>
      <c r="J261" s="1042">
        <v>26</v>
      </c>
      <c r="K261" s="1042">
        <v>36021</v>
      </c>
      <c r="L261" s="1042"/>
      <c r="M261" s="1042"/>
      <c r="N261" s="1042"/>
      <c r="O261" s="1042"/>
      <c r="P261" s="1042"/>
      <c r="Q261" s="1042"/>
      <c r="R261" s="1038"/>
      <c r="S261" s="1039"/>
      <c r="T261" s="1032"/>
      <c r="U261" s="1032"/>
      <c r="V261" s="1032"/>
      <c r="W261" s="1032"/>
      <c r="X261" s="1032"/>
    </row>
    <row r="262" spans="1:24" ht="21" customHeight="1">
      <c r="A262" s="1033" t="s">
        <v>320</v>
      </c>
      <c r="B262" s="1034" t="s">
        <v>416</v>
      </c>
      <c r="C262" s="1035" t="s">
        <v>417</v>
      </c>
      <c r="D262" s="1041" t="s">
        <v>4</v>
      </c>
      <c r="E262" s="1036"/>
      <c r="F262" s="1036">
        <f>SUM(G262:R262)</f>
        <v>0</v>
      </c>
      <c r="G262" s="1042"/>
      <c r="H262" s="1042"/>
      <c r="I262" s="1042"/>
      <c r="J262" s="1042"/>
      <c r="K262" s="1042"/>
      <c r="L262" s="1042"/>
      <c r="M262" s="1042"/>
      <c r="N262" s="1042"/>
      <c r="O262" s="1042"/>
      <c r="P262" s="1042"/>
      <c r="Q262" s="1042"/>
      <c r="R262" s="1038"/>
      <c r="S262" s="1039"/>
      <c r="T262" s="1032"/>
      <c r="U262" s="1032"/>
      <c r="V262" s="1032"/>
      <c r="W262" s="1032"/>
      <c r="X262" s="1032"/>
    </row>
    <row r="263" spans="1:24" ht="21" customHeight="1" hidden="1">
      <c r="A263" s="1033"/>
      <c r="B263" s="1034"/>
      <c r="C263" s="1035"/>
      <c r="D263" s="1057" t="s">
        <v>668</v>
      </c>
      <c r="E263" s="1036"/>
      <c r="F263" s="1036">
        <f>SUM(G263:R263)</f>
        <v>0</v>
      </c>
      <c r="G263" s="1042"/>
      <c r="H263" s="1042"/>
      <c r="I263" s="1042"/>
      <c r="J263" s="1042"/>
      <c r="K263" s="1042"/>
      <c r="L263" s="1042"/>
      <c r="M263" s="1042"/>
      <c r="N263" s="1042"/>
      <c r="O263" s="1042"/>
      <c r="P263" s="1042"/>
      <c r="Q263" s="1042"/>
      <c r="R263" s="1038"/>
      <c r="S263" s="1039"/>
      <c r="T263" s="1032"/>
      <c r="U263" s="1032"/>
      <c r="V263" s="1032"/>
      <c r="W263" s="1032"/>
      <c r="X263" s="1032"/>
    </row>
    <row r="264" spans="1:24" ht="21" customHeight="1">
      <c r="A264" s="1033"/>
      <c r="B264" s="1034"/>
      <c r="C264" s="1035"/>
      <c r="D264" s="1057" t="s">
        <v>733</v>
      </c>
      <c r="E264" s="1036"/>
      <c r="F264" s="1036">
        <f>SUM(G264:R264)</f>
        <v>0</v>
      </c>
      <c r="G264" s="1042"/>
      <c r="H264" s="1042"/>
      <c r="I264" s="1042"/>
      <c r="J264" s="1042"/>
      <c r="K264" s="1042"/>
      <c r="L264" s="1042"/>
      <c r="M264" s="1042"/>
      <c r="N264" s="1042"/>
      <c r="O264" s="1042"/>
      <c r="P264" s="1042"/>
      <c r="Q264" s="1042"/>
      <c r="R264" s="1038"/>
      <c r="S264" s="1039"/>
      <c r="T264" s="1032"/>
      <c r="U264" s="1032"/>
      <c r="V264" s="1032"/>
      <c r="W264" s="1032"/>
      <c r="X264" s="1032"/>
    </row>
    <row r="265" spans="1:24" ht="21" customHeight="1">
      <c r="A265" s="1033"/>
      <c r="B265" s="1034"/>
      <c r="C265" s="1035"/>
      <c r="D265" s="1057" t="s">
        <v>799</v>
      </c>
      <c r="E265" s="1036"/>
      <c r="F265" s="1036">
        <v>0</v>
      </c>
      <c r="G265" s="1042"/>
      <c r="H265" s="1042"/>
      <c r="I265" s="1042"/>
      <c r="J265" s="1042"/>
      <c r="K265" s="1042"/>
      <c r="L265" s="1042"/>
      <c r="M265" s="1042"/>
      <c r="N265" s="1042"/>
      <c r="O265" s="1042"/>
      <c r="P265" s="1042"/>
      <c r="Q265" s="1042"/>
      <c r="R265" s="1038"/>
      <c r="S265" s="1039"/>
      <c r="T265" s="1032"/>
      <c r="U265" s="1032"/>
      <c r="V265" s="1032"/>
      <c r="W265" s="1032"/>
      <c r="X265" s="1032"/>
    </row>
    <row r="266" spans="1:24" ht="21" customHeight="1">
      <c r="A266" s="1033" t="s">
        <v>320</v>
      </c>
      <c r="B266" s="1034" t="s">
        <v>416</v>
      </c>
      <c r="C266" s="1035" t="s">
        <v>417</v>
      </c>
      <c r="D266" s="1041" t="s">
        <v>4</v>
      </c>
      <c r="E266" s="1036"/>
      <c r="F266" s="1036">
        <f>SUM(G266:R266)</f>
        <v>0</v>
      </c>
      <c r="G266" s="1042"/>
      <c r="H266" s="1042"/>
      <c r="I266" s="1042"/>
      <c r="J266" s="1042"/>
      <c r="K266" s="1042"/>
      <c r="L266" s="1042"/>
      <c r="M266" s="1042"/>
      <c r="N266" s="1042"/>
      <c r="O266" s="1042"/>
      <c r="P266" s="1042"/>
      <c r="Q266" s="1042"/>
      <c r="R266" s="1038"/>
      <c r="S266" s="1039"/>
      <c r="T266" s="1032"/>
      <c r="U266" s="1032"/>
      <c r="V266" s="1032"/>
      <c r="W266" s="1032"/>
      <c r="X266" s="1032"/>
    </row>
    <row r="267" spans="1:24" ht="21" customHeight="1" hidden="1">
      <c r="A267" s="1033"/>
      <c r="B267" s="1034"/>
      <c r="C267" s="1035"/>
      <c r="D267" s="1057" t="s">
        <v>668</v>
      </c>
      <c r="E267" s="1036"/>
      <c r="F267" s="1036">
        <f>SUM(G267:R267)</f>
        <v>0</v>
      </c>
      <c r="G267" s="1042"/>
      <c r="H267" s="1042"/>
      <c r="I267" s="1042"/>
      <c r="J267" s="1042"/>
      <c r="K267" s="1042"/>
      <c r="L267" s="1042"/>
      <c r="M267" s="1042"/>
      <c r="N267" s="1042"/>
      <c r="O267" s="1042"/>
      <c r="P267" s="1042"/>
      <c r="Q267" s="1042"/>
      <c r="R267" s="1038"/>
      <c r="S267" s="1039"/>
      <c r="T267" s="1032"/>
      <c r="U267" s="1032"/>
      <c r="V267" s="1032"/>
      <c r="W267" s="1032"/>
      <c r="X267" s="1032"/>
    </row>
    <row r="268" spans="1:24" ht="21" customHeight="1">
      <c r="A268" s="1033"/>
      <c r="B268" s="1034"/>
      <c r="C268" s="1035"/>
      <c r="D268" s="1057" t="s">
        <v>733</v>
      </c>
      <c r="E268" s="1036"/>
      <c r="F268" s="1036">
        <f>SUM(G268:R268)</f>
        <v>0</v>
      </c>
      <c r="G268" s="1042"/>
      <c r="H268" s="1042"/>
      <c r="I268" s="1042"/>
      <c r="J268" s="1042"/>
      <c r="K268" s="1042"/>
      <c r="L268" s="1042"/>
      <c r="M268" s="1042"/>
      <c r="N268" s="1042"/>
      <c r="O268" s="1042"/>
      <c r="P268" s="1042"/>
      <c r="Q268" s="1042"/>
      <c r="R268" s="1038"/>
      <c r="S268" s="1039"/>
      <c r="T268" s="1032"/>
      <c r="U268" s="1032"/>
      <c r="V268" s="1032"/>
      <c r="W268" s="1032"/>
      <c r="X268" s="1032"/>
    </row>
    <row r="269" spans="1:24" ht="21" customHeight="1">
      <c r="A269" s="1033"/>
      <c r="B269" s="1034"/>
      <c r="C269" s="1035"/>
      <c r="D269" s="1057" t="s">
        <v>799</v>
      </c>
      <c r="E269" s="1036"/>
      <c r="F269" s="1036">
        <v>0</v>
      </c>
      <c r="G269" s="1042"/>
      <c r="H269" s="1042"/>
      <c r="I269" s="1042"/>
      <c r="J269" s="1042"/>
      <c r="K269" s="1042"/>
      <c r="L269" s="1042"/>
      <c r="M269" s="1042"/>
      <c r="N269" s="1042"/>
      <c r="O269" s="1042"/>
      <c r="P269" s="1042"/>
      <c r="Q269" s="1042"/>
      <c r="R269" s="1038"/>
      <c r="S269" s="1039"/>
      <c r="T269" s="1032"/>
      <c r="U269" s="1032"/>
      <c r="V269" s="1032"/>
      <c r="W269" s="1032"/>
      <c r="X269" s="1032"/>
    </row>
    <row r="270" spans="1:24" ht="21" customHeight="1">
      <c r="A270" s="1033" t="s">
        <v>317</v>
      </c>
      <c r="B270" s="1034" t="s">
        <v>416</v>
      </c>
      <c r="C270" s="1035" t="s">
        <v>417</v>
      </c>
      <c r="D270" s="1041" t="s">
        <v>4</v>
      </c>
      <c r="E270" s="1036"/>
      <c r="F270" s="1036">
        <f>SUM(G270:R270)</f>
        <v>0</v>
      </c>
      <c r="G270" s="1042"/>
      <c r="H270" s="1042"/>
      <c r="I270" s="1042"/>
      <c r="J270" s="1042"/>
      <c r="K270" s="1042"/>
      <c r="L270" s="1042"/>
      <c r="M270" s="1042"/>
      <c r="N270" s="1042"/>
      <c r="O270" s="1042"/>
      <c r="P270" s="1042"/>
      <c r="Q270" s="1042"/>
      <c r="R270" s="1038"/>
      <c r="S270" s="1039"/>
      <c r="T270" s="1032"/>
      <c r="U270" s="1032"/>
      <c r="V270" s="1032"/>
      <c r="W270" s="1032"/>
      <c r="X270" s="1032"/>
    </row>
    <row r="271" spans="1:24" ht="21" customHeight="1" hidden="1">
      <c r="A271" s="1033"/>
      <c r="B271" s="1034"/>
      <c r="C271" s="1035"/>
      <c r="D271" s="1057" t="s">
        <v>668</v>
      </c>
      <c r="E271" s="1036"/>
      <c r="F271" s="1036">
        <f>SUM(G271:R271)</f>
        <v>0</v>
      </c>
      <c r="G271" s="1042"/>
      <c r="H271" s="1042"/>
      <c r="I271" s="1042"/>
      <c r="J271" s="1042"/>
      <c r="K271" s="1042"/>
      <c r="L271" s="1042"/>
      <c r="M271" s="1042"/>
      <c r="N271" s="1042"/>
      <c r="O271" s="1042"/>
      <c r="P271" s="1042"/>
      <c r="Q271" s="1042"/>
      <c r="R271" s="1038"/>
      <c r="S271" s="1039"/>
      <c r="T271" s="1032"/>
      <c r="U271" s="1032"/>
      <c r="V271" s="1032"/>
      <c r="W271" s="1032"/>
      <c r="X271" s="1032"/>
    </row>
    <row r="272" spans="1:24" ht="21" customHeight="1">
      <c r="A272" s="1033"/>
      <c r="B272" s="1034"/>
      <c r="C272" s="1035"/>
      <c r="D272" s="1057" t="s">
        <v>733</v>
      </c>
      <c r="E272" s="1036"/>
      <c r="F272" s="1036">
        <f>SUM(G272:R272)</f>
        <v>0</v>
      </c>
      <c r="G272" s="1042"/>
      <c r="H272" s="1042"/>
      <c r="I272" s="1042"/>
      <c r="J272" s="1042"/>
      <c r="K272" s="1042"/>
      <c r="L272" s="1042"/>
      <c r="M272" s="1042"/>
      <c r="N272" s="1042"/>
      <c r="O272" s="1042"/>
      <c r="P272" s="1042"/>
      <c r="Q272" s="1042"/>
      <c r="R272" s="1038"/>
      <c r="S272" s="1039"/>
      <c r="T272" s="1032"/>
      <c r="U272" s="1032"/>
      <c r="V272" s="1032"/>
      <c r="W272" s="1032"/>
      <c r="X272" s="1032"/>
    </row>
    <row r="273" spans="1:24" ht="21" customHeight="1">
      <c r="A273" s="1033"/>
      <c r="B273" s="1034"/>
      <c r="C273" s="1035"/>
      <c r="D273" s="1057" t="s">
        <v>799</v>
      </c>
      <c r="E273" s="1036"/>
      <c r="F273" s="1036">
        <v>0</v>
      </c>
      <c r="G273" s="1042"/>
      <c r="H273" s="1042"/>
      <c r="I273" s="1042"/>
      <c r="J273" s="1042"/>
      <c r="K273" s="1042"/>
      <c r="L273" s="1042"/>
      <c r="M273" s="1042"/>
      <c r="N273" s="1042"/>
      <c r="O273" s="1042"/>
      <c r="P273" s="1042"/>
      <c r="Q273" s="1042"/>
      <c r="R273" s="1038"/>
      <c r="S273" s="1039"/>
      <c r="T273" s="1032"/>
      <c r="U273" s="1032"/>
      <c r="V273" s="1032"/>
      <c r="W273" s="1032"/>
      <c r="X273" s="1032"/>
    </row>
    <row r="274" spans="1:24" ht="21" customHeight="1">
      <c r="A274" s="1033" t="s">
        <v>313</v>
      </c>
      <c r="B274" s="1034" t="s">
        <v>418</v>
      </c>
      <c r="C274" s="1035" t="s">
        <v>419</v>
      </c>
      <c r="D274" s="1041" t="s">
        <v>4</v>
      </c>
      <c r="E274" s="1036">
        <v>709262</v>
      </c>
      <c r="F274" s="1036">
        <f>SUM(G274:R274)</f>
        <v>25339</v>
      </c>
      <c r="G274" s="1042"/>
      <c r="H274" s="1042"/>
      <c r="I274" s="1042">
        <v>25339</v>
      </c>
      <c r="J274" s="1042"/>
      <c r="K274" s="1042"/>
      <c r="L274" s="1042"/>
      <c r="M274" s="1042"/>
      <c r="N274" s="1042"/>
      <c r="O274" s="1042"/>
      <c r="P274" s="1042"/>
      <c r="Q274" s="1042"/>
      <c r="R274" s="1038"/>
      <c r="S274" s="1039"/>
      <c r="T274" s="1032"/>
      <c r="U274" s="1032"/>
      <c r="V274" s="1032"/>
      <c r="W274" s="1032"/>
      <c r="X274" s="1032"/>
    </row>
    <row r="275" spans="1:24" ht="21" customHeight="1" hidden="1">
      <c r="A275" s="1033"/>
      <c r="B275" s="1034"/>
      <c r="C275" s="1035"/>
      <c r="D275" s="1057" t="s">
        <v>668</v>
      </c>
      <c r="E275" s="1036">
        <v>909262</v>
      </c>
      <c r="F275" s="1036">
        <f aca="true" t="shared" si="3" ref="F275:F285">SUM(G275:S275)</f>
        <v>280895</v>
      </c>
      <c r="G275" s="1042"/>
      <c r="H275" s="1042"/>
      <c r="I275" s="1042">
        <v>25339</v>
      </c>
      <c r="J275" s="1042"/>
      <c r="K275" s="1042"/>
      <c r="L275" s="1042"/>
      <c r="M275" s="1042"/>
      <c r="N275" s="1042"/>
      <c r="O275" s="1042"/>
      <c r="P275" s="1042"/>
      <c r="Q275" s="1042">
        <v>55556</v>
      </c>
      <c r="R275" s="1038"/>
      <c r="S275" s="1047">
        <v>200000</v>
      </c>
      <c r="T275" s="1032"/>
      <c r="U275" s="1032"/>
      <c r="V275" s="1032"/>
      <c r="W275" s="1032"/>
      <c r="X275" s="1032"/>
    </row>
    <row r="276" spans="1:24" ht="21" customHeight="1">
      <c r="A276" s="1033"/>
      <c r="B276" s="1034"/>
      <c r="C276" s="1035"/>
      <c r="D276" s="1057" t="s">
        <v>733</v>
      </c>
      <c r="E276" s="1036">
        <f>E275+946894</f>
        <v>1856156</v>
      </c>
      <c r="F276" s="1036">
        <f>SUM(G276:S276)</f>
        <v>1227789</v>
      </c>
      <c r="G276" s="1042"/>
      <c r="H276" s="1042"/>
      <c r="I276" s="1042">
        <v>25339</v>
      </c>
      <c r="J276" s="1042"/>
      <c r="K276" s="1042"/>
      <c r="L276" s="1042"/>
      <c r="M276" s="1042"/>
      <c r="N276" s="1042"/>
      <c r="O276" s="1042"/>
      <c r="P276" s="1042"/>
      <c r="Q276" s="1042">
        <f>Q275+166394+560500</f>
        <v>782450</v>
      </c>
      <c r="R276" s="1038"/>
      <c r="S276" s="1047">
        <f>S275+220000</f>
        <v>420000</v>
      </c>
      <c r="T276" s="1032"/>
      <c r="U276" s="1032"/>
      <c r="V276" s="1032"/>
      <c r="W276" s="1032"/>
      <c r="X276" s="1032"/>
    </row>
    <row r="277" spans="1:24" ht="21" customHeight="1">
      <c r="A277" s="1033"/>
      <c r="B277" s="1034"/>
      <c r="C277" s="1035"/>
      <c r="D277" s="1057" t="s">
        <v>799</v>
      </c>
      <c r="E277" s="1036">
        <v>2795835</v>
      </c>
      <c r="F277" s="1036">
        <f t="shared" si="3"/>
        <v>2170732</v>
      </c>
      <c r="G277" s="1042"/>
      <c r="H277" s="1042"/>
      <c r="I277" s="1042">
        <v>19697</v>
      </c>
      <c r="J277" s="1042"/>
      <c r="K277" s="1042"/>
      <c r="L277" s="1042"/>
      <c r="M277" s="1042"/>
      <c r="N277" s="1042"/>
      <c r="O277" s="1042"/>
      <c r="P277" s="1042"/>
      <c r="Q277" s="1042">
        <v>901035</v>
      </c>
      <c r="R277" s="1038"/>
      <c r="S277" s="1047">
        <v>1250000</v>
      </c>
      <c r="T277" s="1032"/>
      <c r="U277" s="1032"/>
      <c r="V277" s="1032"/>
      <c r="W277" s="1032"/>
      <c r="X277" s="1032"/>
    </row>
    <row r="278" spans="1:24" ht="21" customHeight="1">
      <c r="A278" s="1033" t="s">
        <v>313</v>
      </c>
      <c r="B278" s="1034" t="s">
        <v>420</v>
      </c>
      <c r="C278" s="1035" t="s">
        <v>421</v>
      </c>
      <c r="D278" s="1041" t="s">
        <v>4</v>
      </c>
      <c r="E278" s="1036"/>
      <c r="F278" s="1036">
        <f t="shared" si="3"/>
        <v>15000</v>
      </c>
      <c r="G278" s="1042"/>
      <c r="H278" s="1042"/>
      <c r="I278" s="1042"/>
      <c r="J278" s="1042"/>
      <c r="K278" s="1042"/>
      <c r="L278" s="1042">
        <v>15000</v>
      </c>
      <c r="M278" s="1042"/>
      <c r="N278" s="1042"/>
      <c r="O278" s="1042"/>
      <c r="P278" s="1042"/>
      <c r="Q278" s="1042"/>
      <c r="R278" s="1038"/>
      <c r="S278" s="1039"/>
      <c r="T278" s="1032"/>
      <c r="U278" s="1032"/>
      <c r="V278" s="1032"/>
      <c r="W278" s="1032"/>
      <c r="X278" s="1032"/>
    </row>
    <row r="279" spans="1:24" ht="21" customHeight="1" hidden="1">
      <c r="A279" s="1033"/>
      <c r="B279" s="1034"/>
      <c r="C279" s="1035"/>
      <c r="D279" s="1057" t="s">
        <v>668</v>
      </c>
      <c r="E279" s="1036"/>
      <c r="F279" s="1036">
        <f t="shared" si="3"/>
        <v>12274</v>
      </c>
      <c r="G279" s="1042"/>
      <c r="H279" s="1042"/>
      <c r="I279" s="1042"/>
      <c r="J279" s="1042"/>
      <c r="K279" s="1042"/>
      <c r="L279" s="1042">
        <v>12274</v>
      </c>
      <c r="M279" s="1042"/>
      <c r="N279" s="1042"/>
      <c r="O279" s="1042"/>
      <c r="P279" s="1042"/>
      <c r="Q279" s="1042"/>
      <c r="R279" s="1038"/>
      <c r="S279" s="1039"/>
      <c r="T279" s="1032"/>
      <c r="U279" s="1032"/>
      <c r="V279" s="1032"/>
      <c r="W279" s="1032"/>
      <c r="X279" s="1032"/>
    </row>
    <row r="280" spans="1:24" ht="21" customHeight="1">
      <c r="A280" s="1033"/>
      <c r="B280" s="1034"/>
      <c r="C280" s="1035"/>
      <c r="D280" s="1057" t="s">
        <v>733</v>
      </c>
      <c r="E280" s="1036"/>
      <c r="F280" s="1036">
        <f t="shared" si="3"/>
        <v>6086</v>
      </c>
      <c r="G280" s="1042"/>
      <c r="H280" s="1042"/>
      <c r="I280" s="1042"/>
      <c r="J280" s="1042"/>
      <c r="K280" s="1042"/>
      <c r="L280" s="1042">
        <f>6086</f>
        <v>6086</v>
      </c>
      <c r="M280" s="1042"/>
      <c r="N280" s="1042"/>
      <c r="O280" s="1042"/>
      <c r="P280" s="1042"/>
      <c r="Q280" s="1042"/>
      <c r="R280" s="1038"/>
      <c r="S280" s="1039"/>
      <c r="T280" s="1032"/>
      <c r="U280" s="1032"/>
      <c r="V280" s="1032"/>
      <c r="W280" s="1032"/>
      <c r="X280" s="1032"/>
    </row>
    <row r="281" spans="1:24" ht="21" customHeight="1">
      <c r="A281" s="1033"/>
      <c r="B281" s="1034"/>
      <c r="C281" s="1035"/>
      <c r="D281" s="1057" t="s">
        <v>799</v>
      </c>
      <c r="E281" s="1036"/>
      <c r="F281" s="1036">
        <f t="shared" si="3"/>
        <v>4043</v>
      </c>
      <c r="G281" s="1042"/>
      <c r="H281" s="1042"/>
      <c r="I281" s="1042"/>
      <c r="J281" s="1042"/>
      <c r="K281" s="1042"/>
      <c r="L281" s="1042">
        <v>4043</v>
      </c>
      <c r="M281" s="1042"/>
      <c r="N281" s="1042"/>
      <c r="O281" s="1042"/>
      <c r="P281" s="1042"/>
      <c r="Q281" s="1042"/>
      <c r="R281" s="1038"/>
      <c r="S281" s="1039"/>
      <c r="T281" s="1032"/>
      <c r="U281" s="1032"/>
      <c r="V281" s="1032"/>
      <c r="W281" s="1032"/>
      <c r="X281" s="1032"/>
    </row>
    <row r="282" spans="1:24" ht="21" customHeight="1">
      <c r="A282" s="1033" t="s">
        <v>313</v>
      </c>
      <c r="B282" s="1034" t="s">
        <v>420</v>
      </c>
      <c r="C282" s="1035" t="s">
        <v>448</v>
      </c>
      <c r="D282" s="1041" t="s">
        <v>4</v>
      </c>
      <c r="E282" s="1036"/>
      <c r="F282" s="1036">
        <f t="shared" si="3"/>
        <v>425917</v>
      </c>
      <c r="G282" s="1042"/>
      <c r="H282" s="1042"/>
      <c r="I282" s="1042"/>
      <c r="J282" s="1042"/>
      <c r="K282" s="1042"/>
      <c r="L282" s="1042">
        <v>178800</v>
      </c>
      <c r="M282" s="1042"/>
      <c r="N282" s="1042"/>
      <c r="O282" s="1042"/>
      <c r="P282" s="1042">
        <v>247117</v>
      </c>
      <c r="Q282" s="1042"/>
      <c r="R282" s="1038"/>
      <c r="S282" s="1039"/>
      <c r="T282" s="1032"/>
      <c r="U282" s="1032"/>
      <c r="V282" s="1032"/>
      <c r="W282" s="1032"/>
      <c r="X282" s="1032"/>
    </row>
    <row r="283" spans="1:24" ht="21" customHeight="1" hidden="1">
      <c r="A283" s="1033"/>
      <c r="B283" s="1034"/>
      <c r="C283" s="1035"/>
      <c r="D283" s="1057" t="s">
        <v>668</v>
      </c>
      <c r="E283" s="1036"/>
      <c r="F283" s="1036">
        <f t="shared" si="3"/>
        <v>270151</v>
      </c>
      <c r="G283" s="1042"/>
      <c r="H283" s="1042"/>
      <c r="I283" s="1042"/>
      <c r="J283" s="1042"/>
      <c r="K283" s="1042"/>
      <c r="L283" s="1042">
        <v>66771</v>
      </c>
      <c r="M283" s="1042"/>
      <c r="N283" s="1042"/>
      <c r="O283" s="1042"/>
      <c r="P283" s="1042">
        <v>203380</v>
      </c>
      <c r="Q283" s="1042"/>
      <c r="R283" s="1038"/>
      <c r="S283" s="1039"/>
      <c r="T283" s="1032"/>
      <c r="U283" s="1032"/>
      <c r="V283" s="1032"/>
      <c r="W283" s="1032"/>
      <c r="X283" s="1032"/>
    </row>
    <row r="284" spans="1:24" ht="21" customHeight="1">
      <c r="A284" s="1033"/>
      <c r="B284" s="1034"/>
      <c r="C284" s="1035"/>
      <c r="D284" s="1057" t="s">
        <v>733</v>
      </c>
      <c r="E284" s="1036"/>
      <c r="F284" s="1036">
        <f t="shared" si="3"/>
        <v>61792</v>
      </c>
      <c r="G284" s="1042"/>
      <c r="H284" s="1042"/>
      <c r="I284" s="1042"/>
      <c r="J284" s="1042"/>
      <c r="K284" s="1042"/>
      <c r="L284" s="1042">
        <f>19478+1934</f>
        <v>21412</v>
      </c>
      <c r="M284" s="1042"/>
      <c r="N284" s="1042"/>
      <c r="O284" s="1042"/>
      <c r="P284" s="1042">
        <f>P283-161136-1864</f>
        <v>40380</v>
      </c>
      <c r="Q284" s="1042"/>
      <c r="R284" s="1038"/>
      <c r="S284" s="1039"/>
      <c r="T284" s="1032"/>
      <c r="U284" s="1032"/>
      <c r="V284" s="1032"/>
      <c r="W284" s="1032"/>
      <c r="X284" s="1032"/>
    </row>
    <row r="285" spans="1:24" ht="21" customHeight="1">
      <c r="A285" s="1033"/>
      <c r="B285" s="1034"/>
      <c r="C285" s="1035"/>
      <c r="D285" s="1057" t="s">
        <v>799</v>
      </c>
      <c r="E285" s="1036"/>
      <c r="F285" s="1036">
        <f t="shared" si="3"/>
        <v>957</v>
      </c>
      <c r="G285" s="1042"/>
      <c r="H285" s="1042"/>
      <c r="I285" s="1042"/>
      <c r="J285" s="1042"/>
      <c r="K285" s="1042"/>
      <c r="L285" s="1042">
        <v>957</v>
      </c>
      <c r="M285" s="1042"/>
      <c r="N285" s="1042"/>
      <c r="O285" s="1042"/>
      <c r="P285" s="1042">
        <v>0</v>
      </c>
      <c r="Q285" s="1042"/>
      <c r="R285" s="1038"/>
      <c r="S285" s="1039"/>
      <c r="T285" s="1032"/>
      <c r="U285" s="1032"/>
      <c r="V285" s="1032"/>
      <c r="W285" s="1032"/>
      <c r="X285" s="1032"/>
    </row>
    <row r="286" spans="1:24" ht="21" customHeight="1">
      <c r="A286" s="1033"/>
      <c r="B286" s="1175" t="s">
        <v>275</v>
      </c>
      <c r="C286" s="1175"/>
      <c r="D286" s="1048" t="s">
        <v>4</v>
      </c>
      <c r="E286" s="1049">
        <f aca="true" t="shared" si="4" ref="E286:S286">(E7+E10+E14+E18+E22+E26+E30+E34+E38+E42+E46+E50+E54+E58+E62+E66+E70+E74+E78+E82+E86+E90+E94+E98+E102+E106+E110+E114+E118+E122+E126+E130+E134+E138+E142+E146+E150+E154+E158+E162+E166+E170+E174+E178+E182+E186+E190+E194+E198+E202+E206+E210+E214+E218+E222+E226+E230+E234+E238+E242+E246+E250+E254+E258+E262+E266+E270+E274+E278+E282)</f>
        <v>6924047</v>
      </c>
      <c r="F286" s="1049">
        <f t="shared" si="4"/>
        <v>6924047</v>
      </c>
      <c r="G286" s="1049">
        <f t="shared" si="4"/>
        <v>221020</v>
      </c>
      <c r="H286" s="1049">
        <f t="shared" si="4"/>
        <v>50693</v>
      </c>
      <c r="I286" s="1049">
        <f t="shared" si="4"/>
        <v>974880</v>
      </c>
      <c r="J286" s="1049">
        <f t="shared" si="4"/>
        <v>873528</v>
      </c>
      <c r="K286" s="1049">
        <f t="shared" si="4"/>
        <v>45474</v>
      </c>
      <c r="L286" s="1049">
        <f t="shared" si="4"/>
        <v>193800</v>
      </c>
      <c r="M286" s="1049">
        <f t="shared" si="4"/>
        <v>234263</v>
      </c>
      <c r="N286" s="1049">
        <f t="shared" si="4"/>
        <v>2192246</v>
      </c>
      <c r="O286" s="1049">
        <f t="shared" si="4"/>
        <v>193590</v>
      </c>
      <c r="P286" s="1049">
        <f t="shared" si="4"/>
        <v>247117</v>
      </c>
      <c r="Q286" s="1049">
        <f t="shared" si="4"/>
        <v>41220</v>
      </c>
      <c r="R286" s="1049">
        <f t="shared" si="4"/>
        <v>1656216</v>
      </c>
      <c r="S286" s="1050">
        <f t="shared" si="4"/>
        <v>0</v>
      </c>
      <c r="T286" s="1032"/>
      <c r="U286" s="1032"/>
      <c r="V286" s="1032"/>
      <c r="W286" s="1032"/>
      <c r="X286" s="1032"/>
    </row>
    <row r="287" spans="1:24" ht="21" customHeight="1" hidden="1">
      <c r="A287" s="1033"/>
      <c r="B287" s="1048"/>
      <c r="C287" s="1048"/>
      <c r="D287" s="1058" t="s">
        <v>668</v>
      </c>
      <c r="E287" s="1049">
        <f>(E11+E15+E19+E23+E27+E31+E35+E39+E43+E47+E51+E55+E59+E63+E67+E71+E75+E79+E83+E87+E91+E95+E99+E103+E107+E111+E115+E119+E123+E127+E131+E135+E139+E143+E147+E151+E155+E159+E163+E167+E171+E175+E179+E183+E187+E191+E195+E199+E203+E207+E211+E215+E219+E223+E227+E231+E235+E239+E243+E247+E251+E255+E259+E263+E267+E271+E275+E279+E283)</f>
        <v>7062627</v>
      </c>
      <c r="F287" s="1049">
        <f aca="true" t="shared" si="5" ref="F287:S287">(F11+F15+F19+F23+F27+F31+F35+F39+F43+F47+F51+F55+F59+F63+F67+F71+F75+F79+F83+F87+F91+F95+F99+F103+F107+F111+F115+F119+F123+F127+F131+F135+F139+F143+F147+F151+F155+F159+F163+F167+F171+F175+F179+F183+F187+F191+F195+F199+F203+F207+F211+F215+F219+F223+F227+F231+F235+F239+F243+F247+F251+F255+F259+F263+F267+F271+F275+F279+F283)</f>
        <v>7144233</v>
      </c>
      <c r="G287" s="1049">
        <f t="shared" si="5"/>
        <v>225064</v>
      </c>
      <c r="H287" s="1049">
        <f t="shared" si="5"/>
        <v>51449</v>
      </c>
      <c r="I287" s="1049">
        <f t="shared" si="5"/>
        <v>875957</v>
      </c>
      <c r="J287" s="1049">
        <f t="shared" si="5"/>
        <v>1134594</v>
      </c>
      <c r="K287" s="1049">
        <f t="shared" si="5"/>
        <v>44546</v>
      </c>
      <c r="L287" s="1049">
        <f t="shared" si="5"/>
        <v>79045</v>
      </c>
      <c r="M287" s="1049">
        <f t="shared" si="5"/>
        <v>239899</v>
      </c>
      <c r="N287" s="1049">
        <f t="shared" si="5"/>
        <v>2099560</v>
      </c>
      <c r="O287" s="1049">
        <f t="shared" si="5"/>
        <v>222366</v>
      </c>
      <c r="P287" s="1049">
        <f t="shared" si="5"/>
        <v>203380</v>
      </c>
      <c r="Q287" s="1049">
        <f t="shared" si="5"/>
        <v>90687</v>
      </c>
      <c r="R287" s="1049">
        <f t="shared" si="5"/>
        <v>1677686</v>
      </c>
      <c r="S287" s="1050">
        <f t="shared" si="5"/>
        <v>200000</v>
      </c>
      <c r="T287" s="1032"/>
      <c r="U287" s="1032"/>
      <c r="V287" s="1032"/>
      <c r="W287" s="1032"/>
      <c r="X287" s="1032"/>
    </row>
    <row r="288" spans="1:24" ht="21" customHeight="1">
      <c r="A288" s="1033"/>
      <c r="B288" s="1048"/>
      <c r="C288" s="1048"/>
      <c r="D288" s="1057" t="s">
        <v>733</v>
      </c>
      <c r="E288" s="1049">
        <f aca="true" t="shared" si="6" ref="E288:S289">(E8+E12+E16+E20+E24+E28+E32+E36+E40+E44+E48+E52+E56+E60+E64+E68+E72+E76+E80+E84+E88+E92+E96+E100+E104+E108+E112+E116+E120+E124+E128+E132+E136+E140+E144+E148+E152+E156+E160+E164+E168+E172+E176+E180+E184+E188+E192+E196+E200+E204+E208+E212+E216+E220+E224+E228+E232+E236+E240+E244+E248+E252+E256+E260+E264+E268+E272+E276+E280+E284)</f>
        <v>8146662</v>
      </c>
      <c r="F288" s="1049">
        <f t="shared" si="6"/>
        <v>8146662</v>
      </c>
      <c r="G288" s="1049">
        <f t="shared" si="6"/>
        <v>220793</v>
      </c>
      <c r="H288" s="1049">
        <f t="shared" si="6"/>
        <v>49109</v>
      </c>
      <c r="I288" s="1049">
        <f t="shared" si="6"/>
        <v>1018951</v>
      </c>
      <c r="J288" s="1049">
        <f t="shared" si="6"/>
        <v>1157491</v>
      </c>
      <c r="K288" s="1049">
        <f t="shared" si="6"/>
        <v>42467</v>
      </c>
      <c r="L288" s="1049">
        <f t="shared" si="6"/>
        <v>27498</v>
      </c>
      <c r="M288" s="1049">
        <f t="shared" si="6"/>
        <v>227712</v>
      </c>
      <c r="N288" s="1049">
        <f t="shared" si="6"/>
        <v>2161911</v>
      </c>
      <c r="O288" s="1049">
        <f t="shared" si="6"/>
        <v>261412</v>
      </c>
      <c r="P288" s="1049">
        <f t="shared" si="6"/>
        <v>40380</v>
      </c>
      <c r="Q288" s="1049">
        <f t="shared" si="6"/>
        <v>817581</v>
      </c>
      <c r="R288" s="1049">
        <f t="shared" si="6"/>
        <v>1701357</v>
      </c>
      <c r="S288" s="1050">
        <f t="shared" si="6"/>
        <v>420000</v>
      </c>
      <c r="T288" s="1032"/>
      <c r="U288" s="1032"/>
      <c r="V288" s="1032"/>
      <c r="W288" s="1032"/>
      <c r="X288" s="1032"/>
    </row>
    <row r="289" spans="1:24" ht="21" customHeight="1">
      <c r="A289" s="1033"/>
      <c r="B289" s="1048"/>
      <c r="C289" s="1048"/>
      <c r="D289" s="1057" t="s">
        <v>799</v>
      </c>
      <c r="E289" s="1049">
        <f t="shared" si="6"/>
        <v>8992197</v>
      </c>
      <c r="F289" s="1049">
        <f t="shared" si="6"/>
        <v>8992197</v>
      </c>
      <c r="G289" s="1049">
        <f t="shared" si="6"/>
        <v>232701</v>
      </c>
      <c r="H289" s="1049">
        <f t="shared" si="6"/>
        <v>50278</v>
      </c>
      <c r="I289" s="1049">
        <f t="shared" si="6"/>
        <v>1134436</v>
      </c>
      <c r="J289" s="1049">
        <f t="shared" si="6"/>
        <v>1175133</v>
      </c>
      <c r="K289" s="1049">
        <f t="shared" si="6"/>
        <v>71467</v>
      </c>
      <c r="L289" s="1049">
        <f t="shared" si="6"/>
        <v>5000</v>
      </c>
      <c r="M289" s="1049">
        <f t="shared" si="6"/>
        <v>224923</v>
      </c>
      <c r="N289" s="1049">
        <f t="shared" si="6"/>
        <v>1940495</v>
      </c>
      <c r="O289" s="1049">
        <f t="shared" si="6"/>
        <v>265412</v>
      </c>
      <c r="P289" s="1049">
        <f t="shared" si="6"/>
        <v>0</v>
      </c>
      <c r="Q289" s="1049">
        <f t="shared" si="6"/>
        <v>936166</v>
      </c>
      <c r="R289" s="1049">
        <f t="shared" si="6"/>
        <v>1706186</v>
      </c>
      <c r="S289" s="1050">
        <f t="shared" si="6"/>
        <v>1250000</v>
      </c>
      <c r="T289" s="1032"/>
      <c r="U289" s="1032"/>
      <c r="V289" s="1032"/>
      <c r="W289" s="1032"/>
      <c r="X289" s="1032"/>
    </row>
    <row r="290" spans="1:24" ht="21" customHeight="1">
      <c r="A290" s="1033"/>
      <c r="B290" s="1048"/>
      <c r="C290" s="1048"/>
      <c r="D290" s="1048"/>
      <c r="E290" s="1049"/>
      <c r="F290" s="1036"/>
      <c r="G290" s="1049"/>
      <c r="H290" s="1049"/>
      <c r="I290" s="1049"/>
      <c r="J290" s="1049"/>
      <c r="K290" s="1049"/>
      <c r="L290" s="1049"/>
      <c r="M290" s="1049"/>
      <c r="N290" s="1049"/>
      <c r="O290" s="1049"/>
      <c r="P290" s="1049"/>
      <c r="Q290" s="1049"/>
      <c r="R290" s="1049"/>
      <c r="S290" s="1039"/>
      <c r="T290" s="1032"/>
      <c r="U290" s="1032"/>
      <c r="V290" s="1032"/>
      <c r="W290" s="1032"/>
      <c r="X290" s="1032"/>
    </row>
    <row r="291" spans="1:24" ht="21.75" customHeight="1">
      <c r="A291" s="1033"/>
      <c r="B291" s="1175" t="s">
        <v>205</v>
      </c>
      <c r="C291" s="1175"/>
      <c r="D291" s="1048" t="s">
        <v>4</v>
      </c>
      <c r="E291" s="1049">
        <f>SUM(E14+E22+E26+E58+E62+E66+E70+E74+E78+E82+E86+E90+E94+E102+E106+E110+E114+E122+E126+E130+E134+E138+E142+E146+E150+E166+E182+E222+E226+E230+E234+E238+E242+E246+E258+E270)</f>
        <v>4732402</v>
      </c>
      <c r="F291" s="1036">
        <f>SUM(G291:R291)</f>
        <v>3877540</v>
      </c>
      <c r="G291" s="1049">
        <f aca="true" t="shared" si="7" ref="G291:S293">SUM(G14+G22+G26+G58+G62+G66+G70+G74+G78+G82+G86+G90+G94+G102+G106+G110+G114+G122+G126+G130+G134+G138+G142+G146+G150+G166+G182+G222+G226+G230+G234+G238+G242+G246+G258+G270)</f>
        <v>136525</v>
      </c>
      <c r="H291" s="1049">
        <f t="shared" si="7"/>
        <v>18955</v>
      </c>
      <c r="I291" s="1049">
        <f t="shared" si="7"/>
        <v>861347</v>
      </c>
      <c r="J291" s="1049">
        <f t="shared" si="7"/>
        <v>260527</v>
      </c>
      <c r="K291" s="1049">
        <f t="shared" si="7"/>
        <v>39974</v>
      </c>
      <c r="L291" s="1049">
        <f t="shared" si="7"/>
        <v>0</v>
      </c>
      <c r="M291" s="1049">
        <f t="shared" si="7"/>
        <v>233247</v>
      </c>
      <c r="N291" s="1049">
        <f t="shared" si="7"/>
        <v>2151003</v>
      </c>
      <c r="O291" s="1049">
        <f t="shared" si="7"/>
        <v>169462</v>
      </c>
      <c r="P291" s="1049">
        <f t="shared" si="7"/>
        <v>0</v>
      </c>
      <c r="Q291" s="1049">
        <f t="shared" si="7"/>
        <v>6500</v>
      </c>
      <c r="R291" s="1049">
        <f t="shared" si="7"/>
        <v>0</v>
      </c>
      <c r="S291" s="1050">
        <f t="shared" si="7"/>
        <v>0</v>
      </c>
      <c r="T291" s="1032"/>
      <c r="U291" s="1032"/>
      <c r="V291" s="1032"/>
      <c r="W291" s="1032"/>
      <c r="X291" s="1032"/>
    </row>
    <row r="292" spans="1:24" ht="21" customHeight="1" hidden="1">
      <c r="A292" s="1033"/>
      <c r="B292" s="1048"/>
      <c r="C292" s="1048"/>
      <c r="D292" s="1058" t="s">
        <v>668</v>
      </c>
      <c r="E292" s="1049">
        <f>SUM(E15+E23+E27+E59+E63+E67+E71+E75+E79+E83+E87+E91+E95+E103+E107+E111+E115+E123+E127+E131+E135+E139+E143+E147+E151+E167+E183+E223+E227+E231+E235+E239+E243+E247+E259+E271)</f>
        <v>4747593</v>
      </c>
      <c r="F292" s="1036">
        <f>SUM(G292:R292)</f>
        <v>3925896</v>
      </c>
      <c r="G292" s="1049">
        <f t="shared" si="7"/>
        <v>139635</v>
      </c>
      <c r="H292" s="1049">
        <f t="shared" si="7"/>
        <v>19711</v>
      </c>
      <c r="I292" s="1049">
        <f t="shared" si="7"/>
        <v>764804</v>
      </c>
      <c r="J292" s="1049">
        <f t="shared" si="7"/>
        <v>483394</v>
      </c>
      <c r="K292" s="1049">
        <f t="shared" si="7"/>
        <v>38973</v>
      </c>
      <c r="L292" s="1049">
        <f t="shared" si="7"/>
        <v>0</v>
      </c>
      <c r="M292" s="1049">
        <f t="shared" si="7"/>
        <v>238883</v>
      </c>
      <c r="N292" s="1049">
        <f t="shared" si="7"/>
        <v>2058263</v>
      </c>
      <c r="O292" s="1049">
        <f t="shared" si="7"/>
        <v>182233</v>
      </c>
      <c r="P292" s="1049">
        <f t="shared" si="7"/>
        <v>0</v>
      </c>
      <c r="Q292" s="1049">
        <f t="shared" si="7"/>
        <v>0</v>
      </c>
      <c r="R292" s="1049">
        <f t="shared" si="7"/>
        <v>0</v>
      </c>
      <c r="S292" s="1050">
        <f t="shared" si="7"/>
        <v>0</v>
      </c>
      <c r="T292" s="1032"/>
      <c r="U292" s="1032"/>
      <c r="V292" s="1032"/>
      <c r="W292" s="1032"/>
      <c r="X292" s="1032"/>
    </row>
    <row r="293" spans="1:24" ht="21" customHeight="1">
      <c r="A293" s="1033"/>
      <c r="B293" s="1048"/>
      <c r="C293" s="1048"/>
      <c r="D293" s="1057" t="s">
        <v>733</v>
      </c>
      <c r="E293" s="1049">
        <f>SUM(E16+E24+E28+E60+E64+E68+E72+E76+E80+E84+E88+E92+E96+E104+E108+E112+E116+E124+E128+E132+E136+E140+E144+E148+E152+E168+E184+E224+E228+E232+E236+E240+E244+E248+E260+E272)</f>
        <v>4750129</v>
      </c>
      <c r="F293" s="1036">
        <f>SUM(G293:R293)</f>
        <v>3862385</v>
      </c>
      <c r="G293" s="1049">
        <f t="shared" si="7"/>
        <v>131646</v>
      </c>
      <c r="H293" s="1049">
        <f t="shared" si="7"/>
        <v>17126</v>
      </c>
      <c r="I293" s="1049">
        <f t="shared" si="7"/>
        <v>632584</v>
      </c>
      <c r="J293" s="1049">
        <f t="shared" si="7"/>
        <v>483694</v>
      </c>
      <c r="K293" s="1049">
        <f t="shared" si="7"/>
        <v>36021</v>
      </c>
      <c r="L293" s="1049">
        <f t="shared" si="7"/>
        <v>0</v>
      </c>
      <c r="M293" s="1049">
        <f t="shared" si="7"/>
        <v>226696</v>
      </c>
      <c r="N293" s="1049">
        <f t="shared" si="7"/>
        <v>2130275</v>
      </c>
      <c r="O293" s="1049">
        <f t="shared" si="7"/>
        <v>204343</v>
      </c>
      <c r="P293" s="1049">
        <f t="shared" si="7"/>
        <v>0</v>
      </c>
      <c r="Q293" s="1049">
        <f t="shared" si="7"/>
        <v>0</v>
      </c>
      <c r="R293" s="1049">
        <f t="shared" si="7"/>
        <v>0</v>
      </c>
      <c r="S293" s="1050">
        <f t="shared" si="7"/>
        <v>0</v>
      </c>
      <c r="T293" s="1032"/>
      <c r="U293" s="1032"/>
      <c r="V293" s="1032"/>
      <c r="W293" s="1032"/>
      <c r="X293" s="1032"/>
    </row>
    <row r="294" spans="1:24" ht="21" customHeight="1">
      <c r="A294" s="1033"/>
      <c r="B294" s="1048"/>
      <c r="C294" s="1048"/>
      <c r="D294" s="1057" t="s">
        <v>799</v>
      </c>
      <c r="E294" s="1049">
        <f>SUM(E17+E25+E29+E61+E65+E69+E73+E77+E81+E85+E89+E93+E97+E105+E109+E113+E117+E125+E129+E133+E137+E141+E145+E149+E153+E169+E185+E225+E229+E233+E237+E241+E245+E249+E261+E273)</f>
        <v>4637709</v>
      </c>
      <c r="F294" s="1036">
        <f>SUM(G294:R294)</f>
        <v>3692309</v>
      </c>
      <c r="G294" s="1049">
        <f aca="true" t="shared" si="8" ref="G294:S294">SUM(G17+G25+G29+G61+G65+G69+G73+G77+G81+G85+G89+G93+G97+G105+G109+G113+G117+G125+G129+G133+G137+G141+G145+G149+G153+G169+G185+G225+G229+G233+G237+G241+G245+G249+G261+G273)</f>
        <v>132022</v>
      </c>
      <c r="H294" s="1049">
        <f t="shared" si="8"/>
        <v>17160</v>
      </c>
      <c r="I294" s="1049">
        <f t="shared" si="8"/>
        <v>643509</v>
      </c>
      <c r="J294" s="1049">
        <f t="shared" si="8"/>
        <v>526488</v>
      </c>
      <c r="K294" s="1049">
        <f t="shared" si="8"/>
        <v>36021</v>
      </c>
      <c r="L294" s="1049">
        <f t="shared" si="8"/>
        <v>0</v>
      </c>
      <c r="M294" s="1049">
        <f t="shared" si="8"/>
        <v>223907</v>
      </c>
      <c r="N294" s="1049">
        <f t="shared" si="8"/>
        <v>1908859</v>
      </c>
      <c r="O294" s="1049">
        <f t="shared" si="8"/>
        <v>204343</v>
      </c>
      <c r="P294" s="1049">
        <f t="shared" si="8"/>
        <v>0</v>
      </c>
      <c r="Q294" s="1049">
        <f t="shared" si="8"/>
        <v>0</v>
      </c>
      <c r="R294" s="1049">
        <f t="shared" si="8"/>
        <v>0</v>
      </c>
      <c r="S294" s="1050">
        <f t="shared" si="8"/>
        <v>0</v>
      </c>
      <c r="T294" s="1032"/>
      <c r="U294" s="1032"/>
      <c r="V294" s="1032"/>
      <c r="W294" s="1032"/>
      <c r="X294" s="1032"/>
    </row>
    <row r="295" spans="1:24" ht="21" customHeight="1">
      <c r="A295" s="1033"/>
      <c r="B295" s="1048"/>
      <c r="C295" s="1048"/>
      <c r="D295" s="1048"/>
      <c r="E295" s="1049"/>
      <c r="F295" s="1036"/>
      <c r="G295" s="1049"/>
      <c r="H295" s="1049"/>
      <c r="I295" s="1049"/>
      <c r="J295" s="1049"/>
      <c r="K295" s="1049"/>
      <c r="L295" s="1049"/>
      <c r="M295" s="1049"/>
      <c r="N295" s="1049"/>
      <c r="O295" s="1049"/>
      <c r="P295" s="1049"/>
      <c r="Q295" s="1049"/>
      <c r="R295" s="1049"/>
      <c r="S295" s="1039"/>
      <c r="T295" s="1032"/>
      <c r="U295" s="1032"/>
      <c r="V295" s="1032"/>
      <c r="W295" s="1032"/>
      <c r="X295" s="1032"/>
    </row>
    <row r="296" spans="1:24" ht="21" customHeight="1">
      <c r="A296" s="1033"/>
      <c r="B296" s="1175" t="s">
        <v>449</v>
      </c>
      <c r="C296" s="1175"/>
      <c r="D296" s="1048" t="s">
        <v>4</v>
      </c>
      <c r="E296" s="1049">
        <f>SUM(E18+E30+E34+E38+E42+E98+E118+E154+E158+E162+E170+E174+E178+E186+E190+E194+E198+E202+E206+E210+E214+E218+E250+E254+E262+E266)</f>
        <v>33350</v>
      </c>
      <c r="F296" s="1036">
        <f>SUM(G296:R296)</f>
        <v>416916</v>
      </c>
      <c r="G296" s="1049">
        <f aca="true" t="shared" si="9" ref="G296:S298">SUM(G18+G30+G34+G38+G42+G98+G118+G154+G158+G162+G170+G174+G178+G186+G190+G194+G198+G202+G206+G210+G214+G218+G250+G254+G262+G266)</f>
        <v>35045</v>
      </c>
      <c r="H296" s="1049">
        <f t="shared" si="9"/>
        <v>17043</v>
      </c>
      <c r="I296" s="1049">
        <f t="shared" si="9"/>
        <v>54484</v>
      </c>
      <c r="J296" s="1049">
        <f t="shared" si="9"/>
        <v>256996</v>
      </c>
      <c r="K296" s="1049">
        <f t="shared" si="9"/>
        <v>5500</v>
      </c>
      <c r="L296" s="1049">
        <f t="shared" si="9"/>
        <v>0</v>
      </c>
      <c r="M296" s="1049">
        <f t="shared" si="9"/>
        <v>0</v>
      </c>
      <c r="N296" s="1049">
        <f t="shared" si="9"/>
        <v>0</v>
      </c>
      <c r="O296" s="1049">
        <f t="shared" si="9"/>
        <v>24128</v>
      </c>
      <c r="P296" s="1049">
        <f t="shared" si="9"/>
        <v>0</v>
      </c>
      <c r="Q296" s="1049">
        <f t="shared" si="9"/>
        <v>23720</v>
      </c>
      <c r="R296" s="1049">
        <f t="shared" si="9"/>
        <v>0</v>
      </c>
      <c r="S296" s="1050">
        <f t="shared" si="9"/>
        <v>0</v>
      </c>
      <c r="T296" s="1032"/>
      <c r="U296" s="1032"/>
      <c r="V296" s="1032"/>
      <c r="W296" s="1032"/>
      <c r="X296" s="1032"/>
    </row>
    <row r="297" spans="1:24" ht="21" customHeight="1" hidden="1">
      <c r="A297" s="1033"/>
      <c r="B297" s="1048"/>
      <c r="C297" s="1048"/>
      <c r="D297" s="1058" t="s">
        <v>668</v>
      </c>
      <c r="E297" s="1049">
        <f>SUM(E19+E31+E35+E39+E43+E99+E119+E155+E159+E163+E171+E175+E179+E187+E191+E195+E199+E203+E207+E211+E215+E219+E251+E255+E263+E267)</f>
        <v>33350</v>
      </c>
      <c r="F297" s="1036">
        <f>SUM(G297:R297)</f>
        <v>431912</v>
      </c>
      <c r="G297" s="1049">
        <f t="shared" si="9"/>
        <v>35075</v>
      </c>
      <c r="H297" s="1049">
        <f t="shared" si="9"/>
        <v>17043</v>
      </c>
      <c r="I297" s="1049">
        <f t="shared" si="9"/>
        <v>53328</v>
      </c>
      <c r="J297" s="1049">
        <f t="shared" si="9"/>
        <v>281086</v>
      </c>
      <c r="K297" s="1049">
        <f t="shared" si="9"/>
        <v>5573</v>
      </c>
      <c r="L297" s="1049">
        <f t="shared" si="9"/>
        <v>0</v>
      </c>
      <c r="M297" s="1049">
        <f t="shared" si="9"/>
        <v>0</v>
      </c>
      <c r="N297" s="1049">
        <f t="shared" si="9"/>
        <v>54</v>
      </c>
      <c r="O297" s="1049">
        <f t="shared" si="9"/>
        <v>39753</v>
      </c>
      <c r="P297" s="1049">
        <f t="shared" si="9"/>
        <v>0</v>
      </c>
      <c r="Q297" s="1049">
        <f t="shared" si="9"/>
        <v>0</v>
      </c>
      <c r="R297" s="1049">
        <f t="shared" si="9"/>
        <v>0</v>
      </c>
      <c r="S297" s="1050">
        <f t="shared" si="9"/>
        <v>0</v>
      </c>
      <c r="T297" s="1032"/>
      <c r="U297" s="1032"/>
      <c r="V297" s="1032"/>
      <c r="W297" s="1032"/>
      <c r="X297" s="1032"/>
    </row>
    <row r="298" spans="1:24" ht="21" customHeight="1">
      <c r="A298" s="1033"/>
      <c r="B298" s="1048"/>
      <c r="C298" s="1048"/>
      <c r="D298" s="1057" t="s">
        <v>733</v>
      </c>
      <c r="E298" s="1049">
        <f>SUM(E20+E32+E36+E40+E44+E100+E120+E156+E160+E164+E172+E176+E180+E188+E192+E196+E200+E204+E208+E212+E216+E220+E252+E256+E264+E268)</f>
        <v>48516</v>
      </c>
      <c r="F298" s="1036">
        <f>SUM(G298:R298)</f>
        <v>445952</v>
      </c>
      <c r="G298" s="1049">
        <f t="shared" si="9"/>
        <v>36983</v>
      </c>
      <c r="H298" s="1049">
        <f t="shared" si="9"/>
        <v>17043</v>
      </c>
      <c r="I298" s="1049">
        <f t="shared" si="9"/>
        <v>49390</v>
      </c>
      <c r="J298" s="1049">
        <f t="shared" si="9"/>
        <v>278791</v>
      </c>
      <c r="K298" s="1049">
        <f t="shared" si="9"/>
        <v>6446</v>
      </c>
      <c r="L298" s="1049">
        <f t="shared" si="9"/>
        <v>0</v>
      </c>
      <c r="M298" s="1049">
        <f t="shared" si="9"/>
        <v>0</v>
      </c>
      <c r="N298" s="1049">
        <f t="shared" si="9"/>
        <v>610</v>
      </c>
      <c r="O298" s="1049">
        <f t="shared" si="9"/>
        <v>56689</v>
      </c>
      <c r="P298" s="1049">
        <f t="shared" si="9"/>
        <v>0</v>
      </c>
      <c r="Q298" s="1049">
        <f t="shared" si="9"/>
        <v>0</v>
      </c>
      <c r="R298" s="1049">
        <f t="shared" si="9"/>
        <v>0</v>
      </c>
      <c r="S298" s="1050">
        <f t="shared" si="9"/>
        <v>0</v>
      </c>
      <c r="T298" s="1032"/>
      <c r="U298" s="1032"/>
      <c r="V298" s="1032"/>
      <c r="W298" s="1032"/>
      <c r="X298" s="1032"/>
    </row>
    <row r="299" spans="1:24" ht="21" customHeight="1">
      <c r="A299" s="1033"/>
      <c r="B299" s="1048"/>
      <c r="C299" s="1048"/>
      <c r="D299" s="1057" t="s">
        <v>799</v>
      </c>
      <c r="E299" s="1049">
        <f>SUM(E21+E33+E37+E41+E45+E101+E121+E157+E161+E165+E173+E177+E181+E189+E193+E197+E201+E205+E209+E213+E217+E221+E253+E257+E265+E269)</f>
        <v>52258</v>
      </c>
      <c r="F299" s="1036">
        <f>SUM(G299:R299)</f>
        <v>452682</v>
      </c>
      <c r="G299" s="1049">
        <f aca="true" t="shared" si="10" ref="G299:S299">SUM(G21+G33+G37+G41+G45+G101+G121+G157+G161+G165+G173+G177+G181+G189+G193+G197+G201+G205+G209+G213+G217+G221+G253+G257+G265+G269)</f>
        <v>39412</v>
      </c>
      <c r="H299" s="1049">
        <f t="shared" si="10"/>
        <v>16730</v>
      </c>
      <c r="I299" s="1049">
        <f t="shared" si="10"/>
        <v>47623</v>
      </c>
      <c r="J299" s="1049">
        <f t="shared" si="10"/>
        <v>281172</v>
      </c>
      <c r="K299" s="1049">
        <f t="shared" si="10"/>
        <v>6446</v>
      </c>
      <c r="L299" s="1049">
        <f t="shared" si="10"/>
        <v>0</v>
      </c>
      <c r="M299" s="1049">
        <f t="shared" si="10"/>
        <v>0</v>
      </c>
      <c r="N299" s="1049">
        <f t="shared" si="10"/>
        <v>610</v>
      </c>
      <c r="O299" s="1049">
        <f t="shared" si="10"/>
        <v>60689</v>
      </c>
      <c r="P299" s="1049">
        <f t="shared" si="10"/>
        <v>0</v>
      </c>
      <c r="Q299" s="1049">
        <f t="shared" si="10"/>
        <v>0</v>
      </c>
      <c r="R299" s="1049">
        <f t="shared" si="10"/>
        <v>0</v>
      </c>
      <c r="S299" s="1050">
        <f t="shared" si="10"/>
        <v>0</v>
      </c>
      <c r="T299" s="1032"/>
      <c r="U299" s="1032"/>
      <c r="V299" s="1032"/>
      <c r="W299" s="1032"/>
      <c r="X299" s="1032"/>
    </row>
    <row r="300" spans="1:24" ht="21" customHeight="1">
      <c r="A300" s="1033"/>
      <c r="B300" s="1048"/>
      <c r="C300" s="1048"/>
      <c r="D300" s="1048"/>
      <c r="E300" s="1049"/>
      <c r="F300" s="1036"/>
      <c r="G300" s="1049"/>
      <c r="H300" s="1049"/>
      <c r="I300" s="1049"/>
      <c r="J300" s="1049"/>
      <c r="K300" s="1049"/>
      <c r="L300" s="1049"/>
      <c r="M300" s="1049"/>
      <c r="N300" s="1049"/>
      <c r="O300" s="1049"/>
      <c r="P300" s="1049"/>
      <c r="Q300" s="1049"/>
      <c r="R300" s="1049"/>
      <c r="S300" s="1039"/>
      <c r="T300" s="1032"/>
      <c r="U300" s="1032"/>
      <c r="V300" s="1032"/>
      <c r="W300" s="1032"/>
      <c r="X300" s="1032"/>
    </row>
    <row r="301" spans="1:24" ht="21" customHeight="1">
      <c r="A301" s="1033"/>
      <c r="B301" s="1175" t="s">
        <v>450</v>
      </c>
      <c r="C301" s="1175"/>
      <c r="D301" s="1048" t="s">
        <v>4</v>
      </c>
      <c r="E301" s="1049">
        <f>SUM(E7+E10+E46+E50+E54+E274+E278+E282)</f>
        <v>2158295</v>
      </c>
      <c r="F301" s="1036">
        <f>SUM(G301:S301)</f>
        <v>2629591</v>
      </c>
      <c r="G301" s="1049">
        <f aca="true" t="shared" si="11" ref="G301:S301">SUM(G7+G10+G46+G50+G54+G274+G278+G282)</f>
        <v>49450</v>
      </c>
      <c r="H301" s="1049">
        <f t="shared" si="11"/>
        <v>14695</v>
      </c>
      <c r="I301" s="1049">
        <f t="shared" si="11"/>
        <v>59049</v>
      </c>
      <c r="J301" s="1049">
        <f t="shared" si="11"/>
        <v>356005</v>
      </c>
      <c r="K301" s="1049">
        <f t="shared" si="11"/>
        <v>0</v>
      </c>
      <c r="L301" s="1049">
        <f t="shared" si="11"/>
        <v>193800</v>
      </c>
      <c r="M301" s="1049">
        <f t="shared" si="11"/>
        <v>1016</v>
      </c>
      <c r="N301" s="1049">
        <f t="shared" si="11"/>
        <v>41243</v>
      </c>
      <c r="O301" s="1049">
        <f t="shared" si="11"/>
        <v>0</v>
      </c>
      <c r="P301" s="1049">
        <f t="shared" si="11"/>
        <v>247117</v>
      </c>
      <c r="Q301" s="1049">
        <f t="shared" si="11"/>
        <v>11000</v>
      </c>
      <c r="R301" s="1049">
        <f t="shared" si="11"/>
        <v>1656216</v>
      </c>
      <c r="S301" s="1050">
        <f t="shared" si="11"/>
        <v>0</v>
      </c>
      <c r="T301" s="1032"/>
      <c r="U301" s="1032"/>
      <c r="V301" s="1032"/>
      <c r="W301" s="1032"/>
      <c r="X301" s="1032"/>
    </row>
    <row r="302" spans="1:24" ht="21" customHeight="1" hidden="1">
      <c r="A302" s="1033"/>
      <c r="B302" s="1048"/>
      <c r="C302" s="1048"/>
      <c r="D302" s="1058" t="s">
        <v>668</v>
      </c>
      <c r="E302" s="1049">
        <f>SUM(E11+E47+E51+E55+E275+E279+E283)</f>
        <v>2281684</v>
      </c>
      <c r="F302" s="1036" t="e">
        <f>SUM(G302:S302)</f>
        <v>#REF!</v>
      </c>
      <c r="G302" s="1049" t="e">
        <f>SUM(#REF!+G11+G47+G51+G55+G275+G279+G283)</f>
        <v>#REF!</v>
      </c>
      <c r="H302" s="1049" t="e">
        <f>SUM(#REF!+H11+H47+H51+H55+H275+H279+H283)</f>
        <v>#REF!</v>
      </c>
      <c r="I302" s="1049" t="e">
        <f>SUM(#REF!+I11+I47+I51+I55+I275+I279+I283)</f>
        <v>#REF!</v>
      </c>
      <c r="J302" s="1049" t="e">
        <f>SUM(#REF!+J11+J47+J51+J55+J275+J279+J283)</f>
        <v>#REF!</v>
      </c>
      <c r="K302" s="1049" t="e">
        <f>SUM(#REF!+K11+K47+K51+K55+K275+K279+K283)</f>
        <v>#REF!</v>
      </c>
      <c r="L302" s="1049" t="e">
        <f>SUM(#REF!+L11+L47+L51+L55+L275+L279+L283)</f>
        <v>#REF!</v>
      </c>
      <c r="M302" s="1049" t="e">
        <f>SUM(#REF!+M11+M47+M51+M55+M275+M279+M283)</f>
        <v>#REF!</v>
      </c>
      <c r="N302" s="1049" t="e">
        <f>SUM(#REF!+N11+N47+N51+N55+N275+N279+N283)</f>
        <v>#REF!</v>
      </c>
      <c r="O302" s="1049" t="e">
        <f>SUM(#REF!+O11+O47+O51+O55+O275+O279+O283)</f>
        <v>#REF!</v>
      </c>
      <c r="P302" s="1049" t="e">
        <f>SUM(#REF!+P11+P47+P51+P55+P275+P279+P283)</f>
        <v>#REF!</v>
      </c>
      <c r="Q302" s="1049" t="e">
        <f>SUM(#REF!+Q11+Q47+Q51+Q55+Q275+Q279+Q283)</f>
        <v>#REF!</v>
      </c>
      <c r="R302" s="1049" t="e">
        <f>SUM(#REF!+R11+R47+R51+R55+R275+R279+R283)</f>
        <v>#REF!</v>
      </c>
      <c r="S302" s="1050" t="e">
        <f>SUM(#REF!+S11+S47+S51+S55+S275+S279+S283)</f>
        <v>#REF!</v>
      </c>
      <c r="T302" s="1032"/>
      <c r="U302" s="1032"/>
      <c r="V302" s="1032"/>
      <c r="W302" s="1032"/>
      <c r="X302" s="1032"/>
    </row>
    <row r="303" spans="1:24" ht="21" customHeight="1">
      <c r="A303" s="1051"/>
      <c r="B303" s="1052"/>
      <c r="C303" s="1032"/>
      <c r="D303" s="1059" t="s">
        <v>733</v>
      </c>
      <c r="E303" s="1053">
        <f aca="true" t="shared" si="12" ref="E303:S304">SUM(E8+E12+E48+E52+E56+E276+E280+E284)</f>
        <v>3348017</v>
      </c>
      <c r="F303" s="1036">
        <f>SUM(G303:S303)</f>
        <v>3838325</v>
      </c>
      <c r="G303" s="1053">
        <f>SUM(G8+G12+G48+G52+G56+G276+G280+G284)</f>
        <v>52164</v>
      </c>
      <c r="H303" s="1053">
        <f t="shared" si="12"/>
        <v>14940</v>
      </c>
      <c r="I303" s="1053">
        <f t="shared" si="12"/>
        <v>336977</v>
      </c>
      <c r="J303" s="1053">
        <f t="shared" si="12"/>
        <v>395006</v>
      </c>
      <c r="K303" s="1053">
        <f t="shared" si="12"/>
        <v>0</v>
      </c>
      <c r="L303" s="1053">
        <f t="shared" si="12"/>
        <v>27498</v>
      </c>
      <c r="M303" s="1053">
        <f t="shared" si="12"/>
        <v>1016</v>
      </c>
      <c r="N303" s="1053">
        <f t="shared" si="12"/>
        <v>31026</v>
      </c>
      <c r="O303" s="1053">
        <f t="shared" si="12"/>
        <v>380</v>
      </c>
      <c r="P303" s="1053">
        <f t="shared" si="12"/>
        <v>40380</v>
      </c>
      <c r="Q303" s="1053">
        <f t="shared" si="12"/>
        <v>817581</v>
      </c>
      <c r="R303" s="1053">
        <f t="shared" si="12"/>
        <v>1701357</v>
      </c>
      <c r="S303" s="1054">
        <f t="shared" si="12"/>
        <v>420000</v>
      </c>
      <c r="T303" s="1032"/>
      <c r="U303" s="1032"/>
      <c r="V303" s="1032"/>
      <c r="W303" s="1032"/>
      <c r="X303" s="1032"/>
    </row>
    <row r="304" spans="1:19" ht="21" customHeight="1" thickBot="1">
      <c r="A304" s="1060"/>
      <c r="B304" s="1061"/>
      <c r="C304" s="1061"/>
      <c r="D304" s="1062" t="s">
        <v>799</v>
      </c>
      <c r="E304" s="1055">
        <f t="shared" si="12"/>
        <v>4302230</v>
      </c>
      <c r="F304" s="1036">
        <f>SUM(G304:S304)</f>
        <v>4847206</v>
      </c>
      <c r="G304" s="1055">
        <f t="shared" si="12"/>
        <v>61267</v>
      </c>
      <c r="H304" s="1055">
        <f t="shared" si="12"/>
        <v>16388</v>
      </c>
      <c r="I304" s="1055">
        <f t="shared" si="12"/>
        <v>443304</v>
      </c>
      <c r="J304" s="1055">
        <f t="shared" si="12"/>
        <v>367473</v>
      </c>
      <c r="K304" s="1055">
        <f t="shared" si="12"/>
        <v>29000</v>
      </c>
      <c r="L304" s="1055">
        <f t="shared" si="12"/>
        <v>5000</v>
      </c>
      <c r="M304" s="1055">
        <f t="shared" si="12"/>
        <v>1016</v>
      </c>
      <c r="N304" s="1055">
        <f t="shared" si="12"/>
        <v>31026</v>
      </c>
      <c r="O304" s="1055">
        <f t="shared" si="12"/>
        <v>380</v>
      </c>
      <c r="P304" s="1055">
        <f t="shared" si="12"/>
        <v>0</v>
      </c>
      <c r="Q304" s="1055">
        <f t="shared" si="12"/>
        <v>936166</v>
      </c>
      <c r="R304" s="1055">
        <f t="shared" si="12"/>
        <v>1706186</v>
      </c>
      <c r="S304" s="1056">
        <f t="shared" si="12"/>
        <v>1250000</v>
      </c>
    </row>
    <row r="307" ht="21" customHeight="1">
      <c r="F307" s="1063"/>
    </row>
  </sheetData>
  <sheetProtection password="CC05" sheet="1"/>
  <mergeCells count="24">
    <mergeCell ref="B2:P2"/>
    <mergeCell ref="E4:E6"/>
    <mergeCell ref="F4:F6"/>
    <mergeCell ref="G4:L4"/>
    <mergeCell ref="J5:J6"/>
    <mergeCell ref="O5:O6"/>
    <mergeCell ref="Q5:Q6"/>
    <mergeCell ref="P5:P6"/>
    <mergeCell ref="M5:M6"/>
    <mergeCell ref="N5:N6"/>
    <mergeCell ref="B296:C296"/>
    <mergeCell ref="B291:C291"/>
    <mergeCell ref="B286:C286"/>
    <mergeCell ref="A4:D6"/>
    <mergeCell ref="S4:S6"/>
    <mergeCell ref="Q4:R4"/>
    <mergeCell ref="R5:R6"/>
    <mergeCell ref="B301:C301"/>
    <mergeCell ref="M4:P4"/>
    <mergeCell ref="G5:G6"/>
    <mergeCell ref="H5:H6"/>
    <mergeCell ref="I5:I6"/>
    <mergeCell ref="K5:K6"/>
    <mergeCell ref="L5:L6"/>
  </mergeCells>
  <printOptions/>
  <pageMargins left="0.4330708661417323" right="0.2362204724409449" top="0.5905511811023623" bottom="0.7480314960629921" header="0.31496062992125984" footer="0.31496062992125984"/>
  <pageSetup fitToHeight="0" fitToWidth="1" horizontalDpi="600" verticalDpi="600" orientation="landscape" paperSize="9" scale="32" r:id="rId1"/>
  <headerFooter alignWithMargins="0">
    <oddHeader>&amp;L5. melléklet a 28/2015.(XII.18.)  önkormányzati rendelethez
5. melléklet az 1/2015.(I.30.) önkormányzati rendelethez</oddHeader>
  </headerFooter>
  <rowBreaks count="3" manualBreakCount="3">
    <brk id="93" max="18" man="1"/>
    <brk id="181" max="18" man="1"/>
    <brk id="26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3" zoomScaleSheetLayoutView="73" workbookViewId="0" topLeftCell="A1">
      <selection activeCell="D21" sqref="D21"/>
    </sheetView>
  </sheetViews>
  <sheetFormatPr defaultColWidth="11.625" defaultRowHeight="12.75"/>
  <cols>
    <col min="1" max="1" width="21.375" style="1064" customWidth="1"/>
    <col min="2" max="2" width="11.25390625" style="1070" customWidth="1"/>
    <col min="3" max="3" width="95.375" style="1064" customWidth="1"/>
    <col min="4" max="4" width="17.375" style="1065" customWidth="1"/>
    <col min="5" max="5" width="14.375" style="1065" customWidth="1"/>
    <col min="6" max="7" width="15.25390625" style="1064" customWidth="1"/>
    <col min="8" max="8" width="16.25390625" style="1064" customWidth="1"/>
    <col min="9" max="9" width="12.625" style="1064" customWidth="1"/>
    <col min="10" max="10" width="14.875" style="1064" customWidth="1"/>
    <col min="11" max="11" width="12.25390625" style="1064" customWidth="1"/>
    <col min="12" max="12" width="13.875" style="1064" customWidth="1"/>
    <col min="13" max="13" width="13.375" style="1064" customWidth="1"/>
    <col min="14" max="14" width="12.25390625" style="1064" customWidth="1"/>
    <col min="15" max="15" width="18.125" style="1066" customWidth="1"/>
    <col min="16" max="16" width="16.375" style="1064" customWidth="1"/>
    <col min="17" max="17" width="15.25390625" style="1064" customWidth="1"/>
    <col min="18" max="18" width="21.875" style="1064" customWidth="1"/>
    <col min="19" max="16384" width="11.625" style="1067" customWidth="1"/>
  </cols>
  <sheetData>
    <row r="1" spans="2:3" ht="15.75">
      <c r="B1" s="1187"/>
      <c r="C1" s="1187"/>
    </row>
    <row r="3" spans="2:17" ht="15.75">
      <c r="B3" s="1188" t="s">
        <v>22</v>
      </c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068"/>
    </row>
    <row r="4" spans="2:17" ht="15.75"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069"/>
    </row>
    <row r="5" spans="14:18" ht="16.5" thickBot="1">
      <c r="N5" s="1065"/>
      <c r="O5" s="1071"/>
      <c r="P5" s="1071"/>
      <c r="Q5" s="1071"/>
      <c r="R5" s="1071" t="s">
        <v>303</v>
      </c>
    </row>
    <row r="6" spans="1:18" ht="16.5" thickBot="1">
      <c r="A6" s="1200" t="s">
        <v>629</v>
      </c>
      <c r="B6" s="1200"/>
      <c r="C6" s="1200"/>
      <c r="D6" s="1200"/>
      <c r="E6" s="1190" t="s">
        <v>304</v>
      </c>
      <c r="F6" s="1190" t="s">
        <v>305</v>
      </c>
      <c r="G6" s="1192" t="s">
        <v>309</v>
      </c>
      <c r="H6" s="1192"/>
      <c r="I6" s="1192"/>
      <c r="J6" s="1192"/>
      <c r="K6" s="1192"/>
      <c r="L6" s="1192"/>
      <c r="M6" s="1192" t="s">
        <v>310</v>
      </c>
      <c r="N6" s="1192"/>
      <c r="O6" s="1192"/>
      <c r="P6" s="1192"/>
      <c r="Q6" s="1202" t="s">
        <v>274</v>
      </c>
      <c r="R6" s="1202"/>
    </row>
    <row r="7" spans="1:18" ht="15.75" thickBot="1">
      <c r="A7" s="1200"/>
      <c r="B7" s="1200"/>
      <c r="C7" s="1200"/>
      <c r="D7" s="1200"/>
      <c r="E7" s="1190"/>
      <c r="F7" s="1190"/>
      <c r="G7" s="1193" t="s">
        <v>567</v>
      </c>
      <c r="H7" s="1193" t="s">
        <v>311</v>
      </c>
      <c r="I7" s="1193" t="s">
        <v>427</v>
      </c>
      <c r="J7" s="1193" t="s">
        <v>571</v>
      </c>
      <c r="K7" s="1193" t="s">
        <v>570</v>
      </c>
      <c r="L7" s="1193" t="s">
        <v>654</v>
      </c>
      <c r="M7" s="1195" t="s">
        <v>277</v>
      </c>
      <c r="N7" s="1195" t="s">
        <v>276</v>
      </c>
      <c r="O7" s="1193" t="s">
        <v>588</v>
      </c>
      <c r="P7" s="1199" t="s">
        <v>248</v>
      </c>
      <c r="Q7" s="1199" t="s">
        <v>312</v>
      </c>
      <c r="R7" s="1185" t="s">
        <v>249</v>
      </c>
    </row>
    <row r="8" spans="1:18" ht="30.75" customHeight="1" thickBot="1">
      <c r="A8" s="1201"/>
      <c r="B8" s="1201"/>
      <c r="C8" s="1201"/>
      <c r="D8" s="1201"/>
      <c r="E8" s="1191"/>
      <c r="F8" s="1191"/>
      <c r="G8" s="1194"/>
      <c r="H8" s="1194"/>
      <c r="I8" s="1194"/>
      <c r="J8" s="1194"/>
      <c r="K8" s="1194"/>
      <c r="L8" s="1194"/>
      <c r="M8" s="1196"/>
      <c r="N8" s="1196"/>
      <c r="O8" s="1194"/>
      <c r="P8" s="1194"/>
      <c r="Q8" s="1194"/>
      <c r="R8" s="1186"/>
    </row>
    <row r="9" spans="1:18" ht="15.75">
      <c r="A9" s="1203" t="s">
        <v>645</v>
      </c>
      <c r="B9" s="1204"/>
      <c r="C9" s="1204"/>
      <c r="D9" s="1072"/>
      <c r="E9" s="1073"/>
      <c r="F9" s="1073"/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5"/>
    </row>
    <row r="10" spans="1:18" ht="15.75">
      <c r="A10" s="1076" t="s">
        <v>313</v>
      </c>
      <c r="B10" s="1077" t="s">
        <v>17</v>
      </c>
      <c r="C10" s="1078" t="s">
        <v>188</v>
      </c>
      <c r="D10" s="1079" t="s">
        <v>4</v>
      </c>
      <c r="E10" s="1080">
        <v>14935</v>
      </c>
      <c r="F10" s="1080">
        <f aca="true" t="shared" si="0" ref="F10:F51">SUM(G10:R10)</f>
        <v>427611</v>
      </c>
      <c r="G10" s="1081">
        <v>206015</v>
      </c>
      <c r="H10" s="1081">
        <v>61085</v>
      </c>
      <c r="I10" s="1081">
        <v>128044</v>
      </c>
      <c r="J10" s="1081">
        <v>2000</v>
      </c>
      <c r="K10" s="1081"/>
      <c r="L10" s="1081"/>
      <c r="M10" s="1081"/>
      <c r="N10" s="1081">
        <v>30467</v>
      </c>
      <c r="O10" s="1081"/>
      <c r="P10" s="1081"/>
      <c r="Q10" s="1081"/>
      <c r="R10" s="1082"/>
    </row>
    <row r="11" spans="1:18" ht="15.75">
      <c r="A11" s="1076"/>
      <c r="B11" s="1077"/>
      <c r="C11" s="1078"/>
      <c r="D11" s="1083" t="s">
        <v>733</v>
      </c>
      <c r="E11" s="1080">
        <v>19256</v>
      </c>
      <c r="F11" s="1080">
        <f t="shared" si="0"/>
        <v>442081</v>
      </c>
      <c r="G11" s="1081">
        <v>217722</v>
      </c>
      <c r="H11" s="1081">
        <v>64161</v>
      </c>
      <c r="I11" s="1081">
        <v>134653</v>
      </c>
      <c r="J11" s="1081">
        <v>1183</v>
      </c>
      <c r="K11" s="1081"/>
      <c r="L11" s="1081"/>
      <c r="M11" s="1081"/>
      <c r="N11" s="1081">
        <v>24362</v>
      </c>
      <c r="O11" s="1081"/>
      <c r="P11" s="1081"/>
      <c r="Q11" s="1081"/>
      <c r="R11" s="1082"/>
    </row>
    <row r="12" spans="1:18" ht="15.75">
      <c r="A12" s="1076"/>
      <c r="B12" s="1077"/>
      <c r="C12" s="1078"/>
      <c r="D12" s="1083" t="s">
        <v>799</v>
      </c>
      <c r="E12" s="1080">
        <v>19256</v>
      </c>
      <c r="F12" s="1080">
        <f t="shared" si="0"/>
        <v>443579</v>
      </c>
      <c r="G12" s="1081">
        <v>218912</v>
      </c>
      <c r="H12" s="1081">
        <v>64469</v>
      </c>
      <c r="I12" s="1081">
        <v>134653</v>
      </c>
      <c r="J12" s="1081">
        <v>1183</v>
      </c>
      <c r="K12" s="1081"/>
      <c r="L12" s="1081"/>
      <c r="M12" s="1081"/>
      <c r="N12" s="1081">
        <v>24362</v>
      </c>
      <c r="O12" s="1081"/>
      <c r="P12" s="1081"/>
      <c r="Q12" s="1081"/>
      <c r="R12" s="1082"/>
    </row>
    <row r="13" spans="1:18" ht="15.75">
      <c r="A13" s="1076" t="s">
        <v>313</v>
      </c>
      <c r="B13" s="1077" t="s">
        <v>189</v>
      </c>
      <c r="C13" s="1078" t="s">
        <v>191</v>
      </c>
      <c r="D13" s="1079" t="s">
        <v>4</v>
      </c>
      <c r="E13" s="1080"/>
      <c r="F13" s="1080">
        <f t="shared" si="0"/>
        <v>44478</v>
      </c>
      <c r="G13" s="1081">
        <v>34326</v>
      </c>
      <c r="H13" s="1081">
        <v>9152</v>
      </c>
      <c r="I13" s="1081">
        <v>1000</v>
      </c>
      <c r="J13" s="1081"/>
      <c r="K13" s="1081"/>
      <c r="L13" s="1081"/>
      <c r="M13" s="1081"/>
      <c r="N13" s="1081"/>
      <c r="O13" s="1081"/>
      <c r="P13" s="1081"/>
      <c r="Q13" s="1081"/>
      <c r="R13" s="1082"/>
    </row>
    <row r="14" spans="1:18" ht="15.75">
      <c r="A14" s="1076"/>
      <c r="B14" s="1077"/>
      <c r="C14" s="1078"/>
      <c r="D14" s="1083" t="s">
        <v>733</v>
      </c>
      <c r="E14" s="1080"/>
      <c r="F14" s="1080">
        <f t="shared" si="0"/>
        <v>44478</v>
      </c>
      <c r="G14" s="1081">
        <v>34326</v>
      </c>
      <c r="H14" s="1081">
        <v>9152</v>
      </c>
      <c r="I14" s="1081">
        <v>1000</v>
      </c>
      <c r="J14" s="1081"/>
      <c r="K14" s="1081"/>
      <c r="L14" s="1081"/>
      <c r="M14" s="1081"/>
      <c r="N14" s="1081"/>
      <c r="O14" s="1081"/>
      <c r="P14" s="1081"/>
      <c r="Q14" s="1081"/>
      <c r="R14" s="1082"/>
    </row>
    <row r="15" spans="1:18" ht="15.75">
      <c r="A15" s="1076"/>
      <c r="B15" s="1077"/>
      <c r="C15" s="1078"/>
      <c r="D15" s="1083" t="s">
        <v>799</v>
      </c>
      <c r="E15" s="1080"/>
      <c r="F15" s="1080">
        <f t="shared" si="0"/>
        <v>44478</v>
      </c>
      <c r="G15" s="1081">
        <v>34326</v>
      </c>
      <c r="H15" s="1081">
        <v>9152</v>
      </c>
      <c r="I15" s="1081">
        <v>1000</v>
      </c>
      <c r="J15" s="1081"/>
      <c r="K15" s="1081"/>
      <c r="L15" s="1081"/>
      <c r="M15" s="1081"/>
      <c r="N15" s="1081"/>
      <c r="O15" s="1081"/>
      <c r="P15" s="1081"/>
      <c r="Q15" s="1081"/>
      <c r="R15" s="1082"/>
    </row>
    <row r="16" spans="1:18" ht="15.75">
      <c r="A16" s="1076" t="s">
        <v>313</v>
      </c>
      <c r="B16" s="1077" t="s">
        <v>483</v>
      </c>
      <c r="C16" s="1078" t="s">
        <v>484</v>
      </c>
      <c r="D16" s="1079" t="s">
        <v>4</v>
      </c>
      <c r="E16" s="1080">
        <v>4100</v>
      </c>
      <c r="F16" s="1080">
        <f t="shared" si="0"/>
        <v>8328</v>
      </c>
      <c r="G16" s="1081">
        <v>4923</v>
      </c>
      <c r="H16" s="1081">
        <v>1405</v>
      </c>
      <c r="I16" s="1081">
        <v>2000</v>
      </c>
      <c r="J16" s="1081"/>
      <c r="K16" s="1081"/>
      <c r="L16" s="1081"/>
      <c r="M16" s="1081"/>
      <c r="N16" s="1081"/>
      <c r="O16" s="1081"/>
      <c r="P16" s="1081"/>
      <c r="Q16" s="1081"/>
      <c r="R16" s="1082"/>
    </row>
    <row r="17" spans="1:18" ht="15.75">
      <c r="A17" s="1076"/>
      <c r="B17" s="1077"/>
      <c r="C17" s="1078"/>
      <c r="D17" s="1083" t="s">
        <v>733</v>
      </c>
      <c r="E17" s="1080">
        <v>5100</v>
      </c>
      <c r="F17" s="1080">
        <f t="shared" si="0"/>
        <v>8328</v>
      </c>
      <c r="G17" s="1081">
        <v>4923</v>
      </c>
      <c r="H17" s="1081">
        <v>1405</v>
      </c>
      <c r="I17" s="1081">
        <v>2000</v>
      </c>
      <c r="J17" s="1081"/>
      <c r="K17" s="1081"/>
      <c r="L17" s="1081"/>
      <c r="M17" s="1081"/>
      <c r="N17" s="1081"/>
      <c r="O17" s="1081"/>
      <c r="P17" s="1081"/>
      <c r="Q17" s="1081"/>
      <c r="R17" s="1082"/>
    </row>
    <row r="18" spans="1:18" ht="15.75">
      <c r="A18" s="1076"/>
      <c r="B18" s="1077"/>
      <c r="C18" s="1078"/>
      <c r="D18" s="1083" t="s">
        <v>799</v>
      </c>
      <c r="E18" s="1080">
        <v>5100</v>
      </c>
      <c r="F18" s="1080">
        <f t="shared" si="0"/>
        <v>8328</v>
      </c>
      <c r="G18" s="1081">
        <v>4923</v>
      </c>
      <c r="H18" s="1081">
        <v>1405</v>
      </c>
      <c r="I18" s="1081">
        <v>2000</v>
      </c>
      <c r="J18" s="1081"/>
      <c r="K18" s="1081"/>
      <c r="L18" s="1081"/>
      <c r="M18" s="1081"/>
      <c r="N18" s="1081"/>
      <c r="O18" s="1081"/>
      <c r="P18" s="1081"/>
      <c r="Q18" s="1081"/>
      <c r="R18" s="1082"/>
    </row>
    <row r="19" spans="1:18" ht="15.75">
      <c r="A19" s="1076" t="s">
        <v>313</v>
      </c>
      <c r="B19" s="1077" t="s">
        <v>198</v>
      </c>
      <c r="C19" s="1078" t="s">
        <v>337</v>
      </c>
      <c r="D19" s="1079" t="s">
        <v>4</v>
      </c>
      <c r="E19" s="1080">
        <v>607670</v>
      </c>
      <c r="F19" s="1080">
        <f t="shared" si="0"/>
        <v>0</v>
      </c>
      <c r="G19" s="1081"/>
      <c r="H19" s="1081"/>
      <c r="I19" s="1081"/>
      <c r="J19" s="1081"/>
      <c r="K19" s="1081"/>
      <c r="L19" s="1081"/>
      <c r="M19" s="1081"/>
      <c r="N19" s="1081"/>
      <c r="O19" s="1081"/>
      <c r="P19" s="1081"/>
      <c r="Q19" s="1081"/>
      <c r="R19" s="1084"/>
    </row>
    <row r="20" spans="1:18" ht="15.75">
      <c r="A20" s="1076"/>
      <c r="B20" s="1077"/>
      <c r="C20" s="1078"/>
      <c r="D20" s="1083" t="s">
        <v>733</v>
      </c>
      <c r="E20" s="1080">
        <v>630178</v>
      </c>
      <c r="F20" s="1080">
        <f t="shared" si="0"/>
        <v>0</v>
      </c>
      <c r="G20" s="1081"/>
      <c r="H20" s="1081"/>
      <c r="I20" s="1081"/>
      <c r="J20" s="1081"/>
      <c r="K20" s="1081"/>
      <c r="L20" s="1081"/>
      <c r="M20" s="1081"/>
      <c r="N20" s="1081"/>
      <c r="O20" s="1081"/>
      <c r="P20" s="1081"/>
      <c r="Q20" s="1081"/>
      <c r="R20" s="1084"/>
    </row>
    <row r="21" spans="1:18" ht="15.75">
      <c r="A21" s="1076"/>
      <c r="B21" s="1077"/>
      <c r="C21" s="1078"/>
      <c r="D21" s="1083" t="s">
        <v>799</v>
      </c>
      <c r="E21" s="1080">
        <v>634182</v>
      </c>
      <c r="F21" s="1080">
        <f t="shared" si="0"/>
        <v>0</v>
      </c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4"/>
    </row>
    <row r="22" spans="1:18" ht="15.75">
      <c r="A22" s="1076" t="s">
        <v>320</v>
      </c>
      <c r="B22" s="1077" t="s">
        <v>219</v>
      </c>
      <c r="C22" s="1078" t="s">
        <v>197</v>
      </c>
      <c r="D22" s="1079" t="s">
        <v>4</v>
      </c>
      <c r="E22" s="1080"/>
      <c r="F22" s="1080">
        <f t="shared" si="0"/>
        <v>21552</v>
      </c>
      <c r="G22" s="1081">
        <v>15449</v>
      </c>
      <c r="H22" s="1081">
        <v>4001</v>
      </c>
      <c r="I22" s="1081">
        <v>2102</v>
      </c>
      <c r="J22" s="1081"/>
      <c r="K22" s="1081"/>
      <c r="L22" s="1081"/>
      <c r="M22" s="1081"/>
      <c r="N22" s="1081"/>
      <c r="O22" s="1081"/>
      <c r="P22" s="1081"/>
      <c r="Q22" s="1081"/>
      <c r="R22" s="1082"/>
    </row>
    <row r="23" spans="1:18" ht="15.75">
      <c r="A23" s="1076"/>
      <c r="B23" s="1077"/>
      <c r="C23" s="1078"/>
      <c r="D23" s="1083" t="s">
        <v>733</v>
      </c>
      <c r="E23" s="1080"/>
      <c r="F23" s="1080">
        <f t="shared" si="0"/>
        <v>21552</v>
      </c>
      <c r="G23" s="1081">
        <v>15449</v>
      </c>
      <c r="H23" s="1081">
        <v>4001</v>
      </c>
      <c r="I23" s="1081">
        <v>2102</v>
      </c>
      <c r="J23" s="1081"/>
      <c r="K23" s="1081"/>
      <c r="L23" s="1081"/>
      <c r="M23" s="1081"/>
      <c r="N23" s="1081"/>
      <c r="O23" s="1081"/>
      <c r="P23" s="1081"/>
      <c r="Q23" s="1081"/>
      <c r="R23" s="1082"/>
    </row>
    <row r="24" spans="1:18" ht="15.75">
      <c r="A24" s="1076"/>
      <c r="B24" s="1077"/>
      <c r="C24" s="1078"/>
      <c r="D24" s="1083" t="s">
        <v>799</v>
      </c>
      <c r="E24" s="1080"/>
      <c r="F24" s="1080">
        <f t="shared" si="0"/>
        <v>21552</v>
      </c>
      <c r="G24" s="1081">
        <v>15449</v>
      </c>
      <c r="H24" s="1081">
        <v>4001</v>
      </c>
      <c r="I24" s="1081">
        <v>2097</v>
      </c>
      <c r="J24" s="1081"/>
      <c r="K24" s="1081"/>
      <c r="L24" s="1081"/>
      <c r="M24" s="1081"/>
      <c r="N24" s="1081">
        <v>5</v>
      </c>
      <c r="O24" s="1081"/>
      <c r="P24" s="1081"/>
      <c r="Q24" s="1081"/>
      <c r="R24" s="1082"/>
    </row>
    <row r="25" spans="1:18" ht="15.75">
      <c r="A25" s="1076" t="s">
        <v>313</v>
      </c>
      <c r="B25" s="1077" t="s">
        <v>487</v>
      </c>
      <c r="C25" s="1078" t="s">
        <v>759</v>
      </c>
      <c r="D25" s="1079" t="s">
        <v>4</v>
      </c>
      <c r="E25" s="1080"/>
      <c r="F25" s="1080">
        <f t="shared" si="0"/>
        <v>31192</v>
      </c>
      <c r="G25" s="1081">
        <v>23480</v>
      </c>
      <c r="H25" s="1081">
        <v>6346</v>
      </c>
      <c r="I25" s="1081">
        <v>1140</v>
      </c>
      <c r="J25" s="1081"/>
      <c r="K25" s="1081"/>
      <c r="L25" s="1081"/>
      <c r="M25" s="1081"/>
      <c r="N25" s="1081">
        <v>226</v>
      </c>
      <c r="O25" s="1081"/>
      <c r="P25" s="1081"/>
      <c r="Q25" s="1081"/>
      <c r="R25" s="1082"/>
    </row>
    <row r="26" spans="1:18" ht="15.75">
      <c r="A26" s="1076"/>
      <c r="B26" s="1077"/>
      <c r="C26" s="1078"/>
      <c r="D26" s="1083" t="s">
        <v>733</v>
      </c>
      <c r="E26" s="1080"/>
      <c r="F26" s="1080">
        <f t="shared" si="0"/>
        <v>31192</v>
      </c>
      <c r="G26" s="1081">
        <v>23480</v>
      </c>
      <c r="H26" s="1081">
        <v>6346</v>
      </c>
      <c r="I26" s="1081">
        <v>1140</v>
      </c>
      <c r="J26" s="1081"/>
      <c r="K26" s="1081"/>
      <c r="L26" s="1081"/>
      <c r="M26" s="1081"/>
      <c r="N26" s="1081">
        <v>226</v>
      </c>
      <c r="O26" s="1081"/>
      <c r="P26" s="1081"/>
      <c r="Q26" s="1081"/>
      <c r="R26" s="1082"/>
    </row>
    <row r="27" spans="1:18" ht="15.75">
      <c r="A27" s="1076"/>
      <c r="B27" s="1077"/>
      <c r="C27" s="1078"/>
      <c r="D27" s="1083" t="s">
        <v>799</v>
      </c>
      <c r="E27" s="1080"/>
      <c r="F27" s="1080">
        <f t="shared" si="0"/>
        <v>31192</v>
      </c>
      <c r="G27" s="1081">
        <v>23480</v>
      </c>
      <c r="H27" s="1081">
        <v>6346</v>
      </c>
      <c r="I27" s="1081">
        <v>1140</v>
      </c>
      <c r="J27" s="1081"/>
      <c r="K27" s="1081"/>
      <c r="L27" s="1081"/>
      <c r="M27" s="1081"/>
      <c r="N27" s="1081">
        <v>226</v>
      </c>
      <c r="O27" s="1081"/>
      <c r="P27" s="1081"/>
      <c r="Q27" s="1081"/>
      <c r="R27" s="1082"/>
    </row>
    <row r="28" spans="1:18" ht="15.75">
      <c r="A28" s="1076" t="s">
        <v>320</v>
      </c>
      <c r="B28" s="1077" t="s">
        <v>181</v>
      </c>
      <c r="C28" s="1078" t="s">
        <v>193</v>
      </c>
      <c r="D28" s="1079" t="s">
        <v>4</v>
      </c>
      <c r="E28" s="1080">
        <v>990</v>
      </c>
      <c r="F28" s="1080">
        <f t="shared" si="0"/>
        <v>1000</v>
      </c>
      <c r="G28" s="1085"/>
      <c r="H28" s="1085"/>
      <c r="I28" s="1085"/>
      <c r="J28" s="1085"/>
      <c r="K28" s="1085"/>
      <c r="L28" s="1085"/>
      <c r="M28" s="1085"/>
      <c r="N28" s="1085"/>
      <c r="O28" s="1085">
        <v>1000</v>
      </c>
      <c r="P28" s="1085"/>
      <c r="Q28" s="1085"/>
      <c r="R28" s="1082"/>
    </row>
    <row r="29" spans="1:18" ht="15.75">
      <c r="A29" s="1076"/>
      <c r="B29" s="1077"/>
      <c r="C29" s="1078"/>
      <c r="D29" s="1083" t="s">
        <v>733</v>
      </c>
      <c r="E29" s="1080">
        <v>990</v>
      </c>
      <c r="F29" s="1080">
        <f t="shared" si="0"/>
        <v>1000</v>
      </c>
      <c r="G29" s="1085"/>
      <c r="H29" s="1085"/>
      <c r="I29" s="1085"/>
      <c r="J29" s="1085"/>
      <c r="K29" s="1085"/>
      <c r="L29" s="1085"/>
      <c r="M29" s="1085"/>
      <c r="N29" s="1085"/>
      <c r="O29" s="1085">
        <v>1000</v>
      </c>
      <c r="P29" s="1085"/>
      <c r="Q29" s="1085"/>
      <c r="R29" s="1082"/>
    </row>
    <row r="30" spans="1:18" ht="15.75">
      <c r="A30" s="1076"/>
      <c r="B30" s="1077"/>
      <c r="C30" s="1078"/>
      <c r="D30" s="1083" t="s">
        <v>799</v>
      </c>
      <c r="E30" s="1080">
        <v>990</v>
      </c>
      <c r="F30" s="1080">
        <f t="shared" si="0"/>
        <v>1000</v>
      </c>
      <c r="G30" s="1085"/>
      <c r="H30" s="1085"/>
      <c r="I30" s="1085"/>
      <c r="J30" s="1085"/>
      <c r="K30" s="1085"/>
      <c r="L30" s="1085"/>
      <c r="M30" s="1085"/>
      <c r="N30" s="1085"/>
      <c r="O30" s="1085">
        <v>1000</v>
      </c>
      <c r="P30" s="1085"/>
      <c r="Q30" s="1085"/>
      <c r="R30" s="1082"/>
    </row>
    <row r="31" spans="1:18" ht="15.75">
      <c r="A31" s="1076" t="s">
        <v>313</v>
      </c>
      <c r="B31" s="1077" t="s">
        <v>149</v>
      </c>
      <c r="C31" s="1078" t="s">
        <v>192</v>
      </c>
      <c r="D31" s="1079" t="s">
        <v>4</v>
      </c>
      <c r="E31" s="1080"/>
      <c r="F31" s="1080">
        <f t="shared" si="0"/>
        <v>63124</v>
      </c>
      <c r="G31" s="1085">
        <v>49877</v>
      </c>
      <c r="H31" s="1085">
        <v>13247</v>
      </c>
      <c r="I31" s="1085"/>
      <c r="J31" s="1085"/>
      <c r="K31" s="1085"/>
      <c r="L31" s="1085"/>
      <c r="M31" s="1085"/>
      <c r="N31" s="1085"/>
      <c r="O31" s="1085"/>
      <c r="P31" s="1085"/>
      <c r="Q31" s="1085"/>
      <c r="R31" s="1082"/>
    </row>
    <row r="32" spans="1:18" ht="15.75">
      <c r="A32" s="1076"/>
      <c r="B32" s="1077"/>
      <c r="C32" s="1078"/>
      <c r="D32" s="1083" t="s">
        <v>733</v>
      </c>
      <c r="E32" s="1080"/>
      <c r="F32" s="1080">
        <f t="shared" si="0"/>
        <v>63124</v>
      </c>
      <c r="G32" s="1085">
        <v>49877</v>
      </c>
      <c r="H32" s="1085">
        <v>13247</v>
      </c>
      <c r="I32" s="1085"/>
      <c r="J32" s="1085"/>
      <c r="K32" s="1085"/>
      <c r="L32" s="1085"/>
      <c r="M32" s="1085"/>
      <c r="N32" s="1085"/>
      <c r="O32" s="1085"/>
      <c r="P32" s="1085"/>
      <c r="Q32" s="1085"/>
      <c r="R32" s="1082"/>
    </row>
    <row r="33" spans="1:18" ht="15.75">
      <c r="A33" s="1076"/>
      <c r="B33" s="1077"/>
      <c r="C33" s="1078"/>
      <c r="D33" s="1083" t="s">
        <v>799</v>
      </c>
      <c r="E33" s="1080"/>
      <c r="F33" s="1080">
        <f t="shared" si="0"/>
        <v>63124</v>
      </c>
      <c r="G33" s="1085">
        <v>49877</v>
      </c>
      <c r="H33" s="1085">
        <v>13247</v>
      </c>
      <c r="I33" s="1085"/>
      <c r="J33" s="1085"/>
      <c r="K33" s="1085"/>
      <c r="L33" s="1085"/>
      <c r="M33" s="1085"/>
      <c r="N33" s="1085"/>
      <c r="O33" s="1085"/>
      <c r="P33" s="1085"/>
      <c r="Q33" s="1085"/>
      <c r="R33" s="1082"/>
    </row>
    <row r="34" spans="1:18" ht="15.75">
      <c r="A34" s="1076" t="s">
        <v>320</v>
      </c>
      <c r="B34" s="1077" t="s">
        <v>150</v>
      </c>
      <c r="C34" s="1078" t="s">
        <v>187</v>
      </c>
      <c r="D34" s="1079" t="s">
        <v>4</v>
      </c>
      <c r="E34" s="1080">
        <v>2025</v>
      </c>
      <c r="F34" s="1080">
        <f t="shared" si="0"/>
        <v>5480</v>
      </c>
      <c r="G34" s="1085">
        <v>1200</v>
      </c>
      <c r="H34" s="1085">
        <v>325</v>
      </c>
      <c r="I34" s="1085">
        <v>3005</v>
      </c>
      <c r="J34" s="1085"/>
      <c r="K34" s="1085"/>
      <c r="L34" s="1085"/>
      <c r="M34" s="1085"/>
      <c r="N34" s="1085">
        <v>950</v>
      </c>
      <c r="O34" s="1085"/>
      <c r="P34" s="1085"/>
      <c r="Q34" s="1085"/>
      <c r="R34" s="1082"/>
    </row>
    <row r="35" spans="1:18" ht="15.75">
      <c r="A35" s="1076"/>
      <c r="B35" s="1077"/>
      <c r="C35" s="1078"/>
      <c r="D35" s="1083" t="s">
        <v>733</v>
      </c>
      <c r="E35" s="1080">
        <v>2025</v>
      </c>
      <c r="F35" s="1080">
        <f t="shared" si="0"/>
        <v>6001</v>
      </c>
      <c r="G35" s="1085">
        <v>1200</v>
      </c>
      <c r="H35" s="1085">
        <v>325</v>
      </c>
      <c r="I35" s="1085">
        <v>3526</v>
      </c>
      <c r="J35" s="1085"/>
      <c r="K35" s="1085"/>
      <c r="L35" s="1085"/>
      <c r="M35" s="1085"/>
      <c r="N35" s="1085">
        <v>950</v>
      </c>
      <c r="O35" s="1085"/>
      <c r="P35" s="1085"/>
      <c r="Q35" s="1085"/>
      <c r="R35" s="1082"/>
    </row>
    <row r="36" spans="1:18" ht="15.75">
      <c r="A36" s="1076"/>
      <c r="B36" s="1077"/>
      <c r="C36" s="1078"/>
      <c r="D36" s="1083" t="s">
        <v>799</v>
      </c>
      <c r="E36" s="1080">
        <v>2025</v>
      </c>
      <c r="F36" s="1080">
        <f t="shared" si="0"/>
        <v>5126</v>
      </c>
      <c r="G36" s="1085">
        <v>1200</v>
      </c>
      <c r="H36" s="1085">
        <v>325</v>
      </c>
      <c r="I36" s="1085">
        <v>3160</v>
      </c>
      <c r="J36" s="1085"/>
      <c r="K36" s="1085"/>
      <c r="L36" s="1085"/>
      <c r="M36" s="1085"/>
      <c r="N36" s="1085">
        <v>441</v>
      </c>
      <c r="O36" s="1085"/>
      <c r="P36" s="1085"/>
      <c r="Q36" s="1085"/>
      <c r="R36" s="1082"/>
    </row>
    <row r="37" spans="1:18" ht="15.75">
      <c r="A37" s="1076" t="s">
        <v>317</v>
      </c>
      <c r="B37" s="1077" t="s">
        <v>194</v>
      </c>
      <c r="C37" s="1078" t="s">
        <v>411</v>
      </c>
      <c r="D37" s="1079" t="s">
        <v>4</v>
      </c>
      <c r="E37" s="1080"/>
      <c r="F37" s="1080">
        <f t="shared" si="0"/>
        <v>10500</v>
      </c>
      <c r="G37" s="1081"/>
      <c r="H37" s="1081"/>
      <c r="I37" s="1081"/>
      <c r="J37" s="1081"/>
      <c r="K37" s="1081">
        <v>10500</v>
      </c>
      <c r="L37" s="1081"/>
      <c r="M37" s="1081"/>
      <c r="N37" s="1081"/>
      <c r="O37" s="1081"/>
      <c r="P37" s="1081"/>
      <c r="Q37" s="1081"/>
      <c r="R37" s="1082"/>
    </row>
    <row r="38" spans="1:18" ht="15.75">
      <c r="A38" s="1076"/>
      <c r="B38" s="1077"/>
      <c r="C38" s="1078"/>
      <c r="D38" s="1083" t="s">
        <v>733</v>
      </c>
      <c r="E38" s="1080"/>
      <c r="F38" s="1080">
        <f t="shared" si="0"/>
        <v>10508</v>
      </c>
      <c r="G38" s="1081"/>
      <c r="H38" s="1081"/>
      <c r="I38" s="1081"/>
      <c r="J38" s="1081"/>
      <c r="K38" s="1081">
        <v>10508</v>
      </c>
      <c r="L38" s="1081"/>
      <c r="M38" s="1081"/>
      <c r="N38" s="1081"/>
      <c r="O38" s="1081"/>
      <c r="P38" s="1081"/>
      <c r="Q38" s="1081"/>
      <c r="R38" s="1082"/>
    </row>
    <row r="39" spans="1:18" ht="15.75">
      <c r="A39" s="1076"/>
      <c r="B39" s="1077"/>
      <c r="C39" s="1078"/>
      <c r="D39" s="1083" t="s">
        <v>799</v>
      </c>
      <c r="E39" s="1080"/>
      <c r="F39" s="1080">
        <f t="shared" si="0"/>
        <v>10508</v>
      </c>
      <c r="G39" s="1081"/>
      <c r="H39" s="1081"/>
      <c r="I39" s="1081"/>
      <c r="J39" s="1081"/>
      <c r="K39" s="1081">
        <v>10508</v>
      </c>
      <c r="L39" s="1081"/>
      <c r="M39" s="1081"/>
      <c r="N39" s="1081"/>
      <c r="O39" s="1081"/>
      <c r="P39" s="1081"/>
      <c r="Q39" s="1081"/>
      <c r="R39" s="1082"/>
    </row>
    <row r="40" spans="1:18" ht="15.75">
      <c r="A40" s="1076" t="s">
        <v>317</v>
      </c>
      <c r="B40" s="1077" t="s">
        <v>195</v>
      </c>
      <c r="C40" s="1078" t="s">
        <v>415</v>
      </c>
      <c r="D40" s="1079" t="s">
        <v>4</v>
      </c>
      <c r="E40" s="1080"/>
      <c r="F40" s="1080">
        <f t="shared" si="0"/>
        <v>3612</v>
      </c>
      <c r="G40" s="1081"/>
      <c r="H40" s="1081"/>
      <c r="I40" s="1081"/>
      <c r="J40" s="1081"/>
      <c r="K40" s="1081">
        <v>3612</v>
      </c>
      <c r="L40" s="1081"/>
      <c r="M40" s="1081"/>
      <c r="N40" s="1081"/>
      <c r="O40" s="1081"/>
      <c r="P40" s="1081"/>
      <c r="Q40" s="1081"/>
      <c r="R40" s="1082"/>
    </row>
    <row r="41" spans="1:18" ht="15.75">
      <c r="A41" s="1076"/>
      <c r="B41" s="1077"/>
      <c r="C41" s="1078"/>
      <c r="D41" s="1083" t="s">
        <v>733</v>
      </c>
      <c r="E41" s="1080"/>
      <c r="F41" s="1080">
        <f t="shared" si="0"/>
        <v>12979</v>
      </c>
      <c r="G41" s="1081"/>
      <c r="H41" s="1081"/>
      <c r="I41" s="1081"/>
      <c r="J41" s="1081"/>
      <c r="K41" s="1081">
        <v>12979</v>
      </c>
      <c r="L41" s="1081"/>
      <c r="M41" s="1081"/>
      <c r="N41" s="1081"/>
      <c r="O41" s="1081"/>
      <c r="P41" s="1081"/>
      <c r="Q41" s="1081"/>
      <c r="R41" s="1082"/>
    </row>
    <row r="42" spans="1:18" ht="15.75">
      <c r="A42" s="1076"/>
      <c r="B42" s="1077"/>
      <c r="C42" s="1078"/>
      <c r="D42" s="1083" t="s">
        <v>799</v>
      </c>
      <c r="E42" s="1080"/>
      <c r="F42" s="1080">
        <f t="shared" si="0"/>
        <v>12979</v>
      </c>
      <c r="G42" s="1081"/>
      <c r="H42" s="1081"/>
      <c r="I42" s="1081"/>
      <c r="J42" s="1081"/>
      <c r="K42" s="1081">
        <v>12979</v>
      </c>
      <c r="L42" s="1081"/>
      <c r="M42" s="1081"/>
      <c r="N42" s="1081"/>
      <c r="O42" s="1081"/>
      <c r="P42" s="1081"/>
      <c r="Q42" s="1081"/>
      <c r="R42" s="1082"/>
    </row>
    <row r="43" spans="1:18" ht="15.75">
      <c r="A43" s="1076" t="s">
        <v>320</v>
      </c>
      <c r="B43" s="1077" t="s">
        <v>196</v>
      </c>
      <c r="C43" s="1078" t="s">
        <v>417</v>
      </c>
      <c r="D43" s="1079" t="s">
        <v>4</v>
      </c>
      <c r="E43" s="1080"/>
      <c r="F43" s="1080">
        <f t="shared" si="0"/>
        <v>907</v>
      </c>
      <c r="G43" s="1081">
        <v>600</v>
      </c>
      <c r="H43" s="1081">
        <v>307</v>
      </c>
      <c r="I43" s="1081"/>
      <c r="J43" s="1081"/>
      <c r="K43" s="1081"/>
      <c r="L43" s="1081"/>
      <c r="M43" s="1081"/>
      <c r="N43" s="1081"/>
      <c r="O43" s="1081"/>
      <c r="P43" s="1081"/>
      <c r="Q43" s="1081"/>
      <c r="R43" s="1082"/>
    </row>
    <row r="44" spans="1:18" ht="15.75">
      <c r="A44" s="1076"/>
      <c r="B44" s="1077"/>
      <c r="C44" s="1078"/>
      <c r="D44" s="1083" t="s">
        <v>733</v>
      </c>
      <c r="E44" s="1080"/>
      <c r="F44" s="1080">
        <f t="shared" si="0"/>
        <v>907</v>
      </c>
      <c r="G44" s="1081">
        <v>600</v>
      </c>
      <c r="H44" s="1081">
        <v>307</v>
      </c>
      <c r="I44" s="1081"/>
      <c r="J44" s="1081"/>
      <c r="K44" s="1081"/>
      <c r="L44" s="1081"/>
      <c r="M44" s="1081"/>
      <c r="N44" s="1081"/>
      <c r="O44" s="1081"/>
      <c r="P44" s="1081"/>
      <c r="Q44" s="1081"/>
      <c r="R44" s="1082"/>
    </row>
    <row r="45" spans="1:18" ht="15.75">
      <c r="A45" s="1076"/>
      <c r="B45" s="1077"/>
      <c r="C45" s="1078"/>
      <c r="D45" s="1083" t="s">
        <v>799</v>
      </c>
      <c r="E45" s="1080"/>
      <c r="F45" s="1080">
        <f t="shared" si="0"/>
        <v>907</v>
      </c>
      <c r="G45" s="1081">
        <v>600</v>
      </c>
      <c r="H45" s="1081">
        <v>307</v>
      </c>
      <c r="I45" s="1081"/>
      <c r="J45" s="1081"/>
      <c r="K45" s="1081"/>
      <c r="L45" s="1081"/>
      <c r="M45" s="1081"/>
      <c r="N45" s="1081"/>
      <c r="O45" s="1081"/>
      <c r="P45" s="1081"/>
      <c r="Q45" s="1081"/>
      <c r="R45" s="1082"/>
    </row>
    <row r="46" spans="1:18" ht="15.75">
      <c r="A46" s="1076" t="s">
        <v>317</v>
      </c>
      <c r="B46" s="1077" t="s">
        <v>485</v>
      </c>
      <c r="C46" s="1078" t="s">
        <v>486</v>
      </c>
      <c r="D46" s="1079" t="s">
        <v>4</v>
      </c>
      <c r="E46" s="1080"/>
      <c r="F46" s="1080">
        <f t="shared" si="0"/>
        <v>11936</v>
      </c>
      <c r="G46" s="1081">
        <v>9400</v>
      </c>
      <c r="H46" s="1081">
        <v>2536</v>
      </c>
      <c r="I46" s="1081"/>
      <c r="J46" s="1081"/>
      <c r="K46" s="1081"/>
      <c r="L46" s="1081"/>
      <c r="M46" s="1081"/>
      <c r="N46" s="1081"/>
      <c r="O46" s="1081"/>
      <c r="P46" s="1081"/>
      <c r="Q46" s="1081"/>
      <c r="R46" s="1082"/>
    </row>
    <row r="47" spans="1:18" ht="15.75">
      <c r="A47" s="1076"/>
      <c r="B47" s="1077"/>
      <c r="C47" s="1086"/>
      <c r="D47" s="1083" t="s">
        <v>733</v>
      </c>
      <c r="E47" s="1087"/>
      <c r="F47" s="1080">
        <f t="shared" si="0"/>
        <v>11936</v>
      </c>
      <c r="G47" s="1081">
        <v>9400</v>
      </c>
      <c r="H47" s="1081">
        <v>2536</v>
      </c>
      <c r="I47" s="1081"/>
      <c r="J47" s="1081"/>
      <c r="K47" s="1081"/>
      <c r="L47" s="1081"/>
      <c r="M47" s="1081"/>
      <c r="N47" s="1081"/>
      <c r="O47" s="1081"/>
      <c r="P47" s="1081"/>
      <c r="Q47" s="1081"/>
      <c r="R47" s="1082"/>
    </row>
    <row r="48" spans="1:18" ht="15.75">
      <c r="A48" s="1076"/>
      <c r="B48" s="1077"/>
      <c r="C48" s="1086"/>
      <c r="D48" s="1083" t="s">
        <v>799</v>
      </c>
      <c r="E48" s="1087"/>
      <c r="F48" s="1080">
        <f t="shared" si="0"/>
        <v>11936</v>
      </c>
      <c r="G48" s="1081">
        <v>9400</v>
      </c>
      <c r="H48" s="1081">
        <v>2536</v>
      </c>
      <c r="I48" s="1081"/>
      <c r="J48" s="1081"/>
      <c r="K48" s="1081"/>
      <c r="L48" s="1081"/>
      <c r="M48" s="1081"/>
      <c r="N48" s="1081"/>
      <c r="O48" s="1081"/>
      <c r="P48" s="1081"/>
      <c r="Q48" s="1081"/>
      <c r="R48" s="1082"/>
    </row>
    <row r="49" spans="1:18" ht="15.75">
      <c r="A49" s="1076" t="s">
        <v>317</v>
      </c>
      <c r="B49" s="1077" t="s">
        <v>723</v>
      </c>
      <c r="C49" s="1086" t="s">
        <v>724</v>
      </c>
      <c r="D49" s="1083" t="s">
        <v>4</v>
      </c>
      <c r="E49" s="1087"/>
      <c r="F49" s="1080">
        <f t="shared" si="0"/>
        <v>0</v>
      </c>
      <c r="G49" s="1081"/>
      <c r="H49" s="1081"/>
      <c r="I49" s="1081"/>
      <c r="J49" s="1081"/>
      <c r="K49" s="1081"/>
      <c r="L49" s="1081"/>
      <c r="M49" s="1081"/>
      <c r="N49" s="1081"/>
      <c r="O49" s="1081"/>
      <c r="P49" s="1081"/>
      <c r="Q49" s="1081"/>
      <c r="R49" s="1082"/>
    </row>
    <row r="50" spans="1:18" ht="15.75">
      <c r="A50" s="1076"/>
      <c r="B50" s="1077"/>
      <c r="C50" s="1086"/>
      <c r="D50" s="1083" t="s">
        <v>733</v>
      </c>
      <c r="E50" s="1087"/>
      <c r="F50" s="1080">
        <f t="shared" si="0"/>
        <v>3463</v>
      </c>
      <c r="G50" s="1081"/>
      <c r="H50" s="1081"/>
      <c r="I50" s="1081"/>
      <c r="J50" s="1081"/>
      <c r="K50" s="1081">
        <v>3463</v>
      </c>
      <c r="L50" s="1081"/>
      <c r="M50" s="1081"/>
      <c r="N50" s="1081"/>
      <c r="O50" s="1081"/>
      <c r="P50" s="1081"/>
      <c r="Q50" s="1081"/>
      <c r="R50" s="1082"/>
    </row>
    <row r="51" spans="1:18" ht="15.75">
      <c r="A51" s="1076"/>
      <c r="B51" s="1088"/>
      <c r="C51" s="1089"/>
      <c r="D51" s="1083" t="s">
        <v>799</v>
      </c>
      <c r="E51" s="1087"/>
      <c r="F51" s="1080">
        <f t="shared" si="0"/>
        <v>6844</v>
      </c>
      <c r="G51" s="1081"/>
      <c r="H51" s="1081"/>
      <c r="I51" s="1081"/>
      <c r="J51" s="1081"/>
      <c r="K51" s="1081">
        <v>6844</v>
      </c>
      <c r="L51" s="1081"/>
      <c r="M51" s="1081"/>
      <c r="N51" s="1081"/>
      <c r="O51" s="1081"/>
      <c r="P51" s="1081"/>
      <c r="Q51" s="1081"/>
      <c r="R51" s="1082"/>
    </row>
    <row r="52" spans="1:18" ht="15.75">
      <c r="A52" s="1197" t="s">
        <v>646</v>
      </c>
      <c r="B52" s="1198"/>
      <c r="C52" s="1198"/>
      <c r="D52" s="1091" t="s">
        <v>4</v>
      </c>
      <c r="E52" s="1080">
        <f aca="true" t="shared" si="1" ref="E52:R52">(E10+E13+E16+E19+E22+E25+E28+E31+E34+E37+E40+E43+E46)</f>
        <v>629720</v>
      </c>
      <c r="F52" s="1080">
        <f t="shared" si="1"/>
        <v>629720</v>
      </c>
      <c r="G52" s="1080">
        <f t="shared" si="1"/>
        <v>345270</v>
      </c>
      <c r="H52" s="1080">
        <f t="shared" si="1"/>
        <v>98404</v>
      </c>
      <c r="I52" s="1080">
        <f t="shared" si="1"/>
        <v>137291</v>
      </c>
      <c r="J52" s="1080">
        <f t="shared" si="1"/>
        <v>2000</v>
      </c>
      <c r="K52" s="1080">
        <f t="shared" si="1"/>
        <v>14112</v>
      </c>
      <c r="L52" s="1080">
        <f t="shared" si="1"/>
        <v>0</v>
      </c>
      <c r="M52" s="1080">
        <f t="shared" si="1"/>
        <v>0</v>
      </c>
      <c r="N52" s="1080">
        <f t="shared" si="1"/>
        <v>31643</v>
      </c>
      <c r="O52" s="1080">
        <f t="shared" si="1"/>
        <v>1000</v>
      </c>
      <c r="P52" s="1080">
        <f t="shared" si="1"/>
        <v>0</v>
      </c>
      <c r="Q52" s="1080">
        <f t="shared" si="1"/>
        <v>0</v>
      </c>
      <c r="R52" s="1092">
        <f t="shared" si="1"/>
        <v>0</v>
      </c>
    </row>
    <row r="53" spans="1:18" ht="15.75">
      <c r="A53" s="1090"/>
      <c r="B53" s="1093"/>
      <c r="C53" s="1093"/>
      <c r="D53" s="1083" t="s">
        <v>733</v>
      </c>
      <c r="E53" s="1080">
        <f>(E11+E14+E17+E20+E23+E26+E29+E32+E35+E38+E41+E44+E47)</f>
        <v>657549</v>
      </c>
      <c r="F53" s="1080">
        <f aca="true" t="shared" si="2" ref="F53:R54">(F11+F14+F17+F20+F23+F26+F29+F32+F35+F38+F41+F44+F47+F50)</f>
        <v>657549</v>
      </c>
      <c r="G53" s="1080">
        <f t="shared" si="2"/>
        <v>356977</v>
      </c>
      <c r="H53" s="1080">
        <f t="shared" si="2"/>
        <v>101480</v>
      </c>
      <c r="I53" s="1080">
        <f t="shared" si="2"/>
        <v>144421</v>
      </c>
      <c r="J53" s="1080">
        <f t="shared" si="2"/>
        <v>1183</v>
      </c>
      <c r="K53" s="1080">
        <f t="shared" si="2"/>
        <v>26950</v>
      </c>
      <c r="L53" s="1080">
        <f t="shared" si="2"/>
        <v>0</v>
      </c>
      <c r="M53" s="1080">
        <f t="shared" si="2"/>
        <v>0</v>
      </c>
      <c r="N53" s="1080">
        <f t="shared" si="2"/>
        <v>25538</v>
      </c>
      <c r="O53" s="1080">
        <f t="shared" si="2"/>
        <v>1000</v>
      </c>
      <c r="P53" s="1080">
        <f t="shared" si="2"/>
        <v>0</v>
      </c>
      <c r="Q53" s="1080">
        <f t="shared" si="2"/>
        <v>0</v>
      </c>
      <c r="R53" s="1092">
        <f t="shared" si="2"/>
        <v>0</v>
      </c>
    </row>
    <row r="54" spans="1:18" ht="15.75">
      <c r="A54" s="1090"/>
      <c r="B54" s="1093"/>
      <c r="C54" s="1093"/>
      <c r="D54" s="1083" t="s">
        <v>799</v>
      </c>
      <c r="E54" s="1080">
        <f>(E12+E15+E18+E21+E24+E27+E30+E33+E36+E39+E42+E45+E48)</f>
        <v>661553</v>
      </c>
      <c r="F54" s="1080">
        <f t="shared" si="2"/>
        <v>661553</v>
      </c>
      <c r="G54" s="1080">
        <f t="shared" si="2"/>
        <v>358167</v>
      </c>
      <c r="H54" s="1080">
        <f t="shared" si="2"/>
        <v>101788</v>
      </c>
      <c r="I54" s="1080">
        <f t="shared" si="2"/>
        <v>144050</v>
      </c>
      <c r="J54" s="1080">
        <f t="shared" si="2"/>
        <v>1183</v>
      </c>
      <c r="K54" s="1080">
        <f t="shared" si="2"/>
        <v>30331</v>
      </c>
      <c r="L54" s="1080">
        <f t="shared" si="2"/>
        <v>0</v>
      </c>
      <c r="M54" s="1080">
        <f t="shared" si="2"/>
        <v>0</v>
      </c>
      <c r="N54" s="1080">
        <f t="shared" si="2"/>
        <v>25034</v>
      </c>
      <c r="O54" s="1080">
        <f t="shared" si="2"/>
        <v>1000</v>
      </c>
      <c r="P54" s="1080">
        <f t="shared" si="2"/>
        <v>0</v>
      </c>
      <c r="Q54" s="1080">
        <f t="shared" si="2"/>
        <v>0</v>
      </c>
      <c r="R54" s="1092">
        <f t="shared" si="2"/>
        <v>0</v>
      </c>
    </row>
    <row r="55" spans="1:18" ht="15.75">
      <c r="A55" s="1076"/>
      <c r="B55" s="1077"/>
      <c r="C55" s="1078"/>
      <c r="D55" s="1079"/>
      <c r="E55" s="1080"/>
      <c r="F55" s="1080"/>
      <c r="G55" s="1081"/>
      <c r="H55" s="1081"/>
      <c r="I55" s="1081"/>
      <c r="J55" s="1081"/>
      <c r="K55" s="1081"/>
      <c r="L55" s="1081"/>
      <c r="M55" s="1081"/>
      <c r="N55" s="1081"/>
      <c r="O55" s="1081"/>
      <c r="P55" s="1081"/>
      <c r="Q55" s="1081"/>
      <c r="R55" s="1082"/>
    </row>
    <row r="56" spans="1:18" ht="15.75">
      <c r="A56" s="1197" t="s">
        <v>199</v>
      </c>
      <c r="B56" s="1198"/>
      <c r="C56" s="1198"/>
      <c r="D56" s="1079"/>
      <c r="E56" s="1080"/>
      <c r="F56" s="1080"/>
      <c r="G56" s="1081"/>
      <c r="H56" s="1081"/>
      <c r="I56" s="1081"/>
      <c r="J56" s="1081"/>
      <c r="K56" s="1081"/>
      <c r="L56" s="1081"/>
      <c r="M56" s="1081"/>
      <c r="N56" s="1081"/>
      <c r="O56" s="1081"/>
      <c r="P56" s="1081"/>
      <c r="Q56" s="1081"/>
      <c r="R56" s="1082"/>
    </row>
    <row r="57" spans="1:18" ht="15.75">
      <c r="A57" s="1076" t="s">
        <v>313</v>
      </c>
      <c r="B57" s="1077" t="s">
        <v>17</v>
      </c>
      <c r="C57" s="1078" t="s">
        <v>188</v>
      </c>
      <c r="D57" s="1079" t="s">
        <v>4</v>
      </c>
      <c r="E57" s="1080">
        <v>9289</v>
      </c>
      <c r="F57" s="1080">
        <f aca="true" t="shared" si="3" ref="F57:F68">G57+H57+I57+J57+K57+L57+M57+N57+O57+P57+Q57+R57</f>
        <v>29265</v>
      </c>
      <c r="G57" s="1085">
        <v>21629</v>
      </c>
      <c r="H57" s="1085">
        <v>5555</v>
      </c>
      <c r="I57" s="1085">
        <v>2081</v>
      </c>
      <c r="J57" s="1085"/>
      <c r="K57" s="1085"/>
      <c r="L57" s="1085"/>
      <c r="M57" s="1085"/>
      <c r="N57" s="1085"/>
      <c r="O57" s="1085"/>
      <c r="P57" s="1085"/>
      <c r="Q57" s="1085"/>
      <c r="R57" s="1082"/>
    </row>
    <row r="58" spans="1:18" ht="15.75">
      <c r="A58" s="1076"/>
      <c r="B58" s="1077"/>
      <c r="C58" s="1078"/>
      <c r="D58" s="1083" t="s">
        <v>733</v>
      </c>
      <c r="E58" s="1080">
        <v>9401</v>
      </c>
      <c r="F58" s="1080">
        <f t="shared" si="3"/>
        <v>29197</v>
      </c>
      <c r="G58" s="1085">
        <v>20588</v>
      </c>
      <c r="H58" s="1085">
        <v>5272</v>
      </c>
      <c r="I58" s="1085">
        <v>3337</v>
      </c>
      <c r="J58" s="1085"/>
      <c r="K58" s="1085"/>
      <c r="L58" s="1085"/>
      <c r="M58" s="1085"/>
      <c r="N58" s="1085"/>
      <c r="O58" s="1085"/>
      <c r="P58" s="1085"/>
      <c r="Q58" s="1085"/>
      <c r="R58" s="1082"/>
    </row>
    <row r="59" spans="1:18" ht="15.75">
      <c r="A59" s="1076"/>
      <c r="B59" s="1077"/>
      <c r="C59" s="1078"/>
      <c r="D59" s="1083" t="s">
        <v>799</v>
      </c>
      <c r="E59" s="1080">
        <v>9401</v>
      </c>
      <c r="F59" s="1080">
        <f t="shared" si="3"/>
        <v>29260</v>
      </c>
      <c r="G59" s="1085">
        <v>20634</v>
      </c>
      <c r="H59" s="1085">
        <v>5289</v>
      </c>
      <c r="I59" s="1085">
        <v>3337</v>
      </c>
      <c r="J59" s="1085"/>
      <c r="K59" s="1085"/>
      <c r="L59" s="1085"/>
      <c r="M59" s="1085"/>
      <c r="N59" s="1085"/>
      <c r="O59" s="1085"/>
      <c r="P59" s="1085"/>
      <c r="Q59" s="1085"/>
      <c r="R59" s="1082"/>
    </row>
    <row r="60" spans="1:18" ht="15.75">
      <c r="A60" s="1076" t="s">
        <v>317</v>
      </c>
      <c r="B60" s="1077" t="s">
        <v>198</v>
      </c>
      <c r="C60" s="1078" t="s">
        <v>337</v>
      </c>
      <c r="D60" s="1079" t="s">
        <v>4</v>
      </c>
      <c r="E60" s="1080">
        <v>20676</v>
      </c>
      <c r="F60" s="1080">
        <f t="shared" si="3"/>
        <v>0</v>
      </c>
      <c r="G60" s="1085"/>
      <c r="H60" s="1085"/>
      <c r="I60" s="1085"/>
      <c r="J60" s="1085"/>
      <c r="K60" s="1085"/>
      <c r="L60" s="1085"/>
      <c r="M60" s="1085"/>
      <c r="N60" s="1085"/>
      <c r="O60" s="1085"/>
      <c r="P60" s="1085"/>
      <c r="Q60" s="1085"/>
      <c r="R60" s="1082"/>
    </row>
    <row r="61" spans="1:18" ht="15.75">
      <c r="A61" s="1076"/>
      <c r="B61" s="1077"/>
      <c r="C61" s="1078"/>
      <c r="D61" s="1083" t="s">
        <v>733</v>
      </c>
      <c r="E61" s="1080">
        <v>20801</v>
      </c>
      <c r="F61" s="1080">
        <f t="shared" si="3"/>
        <v>0</v>
      </c>
      <c r="G61" s="1085"/>
      <c r="H61" s="1085"/>
      <c r="I61" s="1085"/>
      <c r="J61" s="1085"/>
      <c r="K61" s="1085"/>
      <c r="L61" s="1085"/>
      <c r="M61" s="1085"/>
      <c r="N61" s="1085"/>
      <c r="O61" s="1085"/>
      <c r="P61" s="1085"/>
      <c r="Q61" s="1085"/>
      <c r="R61" s="1082"/>
    </row>
    <row r="62" spans="1:18" ht="15.75">
      <c r="A62" s="1076"/>
      <c r="B62" s="1077"/>
      <c r="C62" s="1078"/>
      <c r="D62" s="1083" t="s">
        <v>799</v>
      </c>
      <c r="E62" s="1080">
        <v>20864</v>
      </c>
      <c r="F62" s="1080">
        <f t="shared" si="3"/>
        <v>0</v>
      </c>
      <c r="G62" s="1085"/>
      <c r="H62" s="1085"/>
      <c r="I62" s="1085"/>
      <c r="J62" s="1085"/>
      <c r="K62" s="1085"/>
      <c r="L62" s="1085"/>
      <c r="M62" s="1085"/>
      <c r="N62" s="1085"/>
      <c r="O62" s="1085"/>
      <c r="P62" s="1085"/>
      <c r="Q62" s="1085"/>
      <c r="R62" s="1082"/>
    </row>
    <row r="63" spans="1:18" ht="15.75">
      <c r="A63" s="1076" t="s">
        <v>317</v>
      </c>
      <c r="B63" s="1077" t="s">
        <v>194</v>
      </c>
      <c r="C63" s="1078" t="s">
        <v>411</v>
      </c>
      <c r="D63" s="1079" t="s">
        <v>4</v>
      </c>
      <c r="E63" s="1080"/>
      <c r="F63" s="1080">
        <f t="shared" si="3"/>
        <v>576</v>
      </c>
      <c r="G63" s="1085"/>
      <c r="H63" s="1085"/>
      <c r="I63" s="1085"/>
      <c r="J63" s="1085"/>
      <c r="K63" s="1085">
        <v>576</v>
      </c>
      <c r="L63" s="1085"/>
      <c r="M63" s="1085"/>
      <c r="N63" s="1085"/>
      <c r="O63" s="1085"/>
      <c r="P63" s="1085"/>
      <c r="Q63" s="1085"/>
      <c r="R63" s="1082"/>
    </row>
    <row r="64" spans="1:18" ht="15.75">
      <c r="A64" s="1076"/>
      <c r="B64" s="1077"/>
      <c r="C64" s="1086"/>
      <c r="D64" s="1083" t="s">
        <v>733</v>
      </c>
      <c r="E64" s="1087"/>
      <c r="F64" s="1080">
        <f t="shared" si="3"/>
        <v>723</v>
      </c>
      <c r="G64" s="1085"/>
      <c r="H64" s="1085"/>
      <c r="I64" s="1085"/>
      <c r="J64" s="1085"/>
      <c r="K64" s="1085">
        <v>723</v>
      </c>
      <c r="L64" s="1085"/>
      <c r="M64" s="1085"/>
      <c r="N64" s="1085"/>
      <c r="O64" s="1085"/>
      <c r="P64" s="1085"/>
      <c r="Q64" s="1085"/>
      <c r="R64" s="1082"/>
    </row>
    <row r="65" spans="1:18" ht="15.75">
      <c r="A65" s="1076"/>
      <c r="B65" s="1077"/>
      <c r="C65" s="1086"/>
      <c r="D65" s="1083" t="s">
        <v>799</v>
      </c>
      <c r="E65" s="1087"/>
      <c r="F65" s="1080">
        <f t="shared" si="3"/>
        <v>723</v>
      </c>
      <c r="G65" s="1085"/>
      <c r="H65" s="1085"/>
      <c r="I65" s="1085"/>
      <c r="J65" s="1085"/>
      <c r="K65" s="1085">
        <v>723</v>
      </c>
      <c r="L65" s="1085"/>
      <c r="M65" s="1085"/>
      <c r="N65" s="1085"/>
      <c r="O65" s="1085"/>
      <c r="P65" s="1085"/>
      <c r="Q65" s="1085"/>
      <c r="R65" s="1082"/>
    </row>
    <row r="66" spans="1:18" ht="15.75">
      <c r="A66" s="1076" t="s">
        <v>317</v>
      </c>
      <c r="B66" s="1077" t="s">
        <v>195</v>
      </c>
      <c r="C66" s="1078" t="s">
        <v>415</v>
      </c>
      <c r="D66" s="1079" t="s">
        <v>4</v>
      </c>
      <c r="E66" s="1080"/>
      <c r="F66" s="1080">
        <f t="shared" si="3"/>
        <v>124</v>
      </c>
      <c r="G66" s="1085"/>
      <c r="H66" s="1085"/>
      <c r="I66" s="1085"/>
      <c r="J66" s="1085"/>
      <c r="K66" s="1085">
        <v>124</v>
      </c>
      <c r="L66" s="1085"/>
      <c r="M66" s="1085"/>
      <c r="N66" s="1085"/>
      <c r="O66" s="1085"/>
      <c r="P66" s="1085"/>
      <c r="Q66" s="1085"/>
      <c r="R66" s="1082"/>
    </row>
    <row r="67" spans="1:18" ht="15.75">
      <c r="A67" s="1076"/>
      <c r="B67" s="1077"/>
      <c r="C67" s="1078"/>
      <c r="D67" s="1083" t="s">
        <v>733</v>
      </c>
      <c r="E67" s="1080"/>
      <c r="F67" s="1080">
        <f t="shared" si="3"/>
        <v>282</v>
      </c>
      <c r="G67" s="1085"/>
      <c r="H67" s="1085"/>
      <c r="I67" s="1085"/>
      <c r="J67" s="1085"/>
      <c r="K67" s="1085">
        <v>282</v>
      </c>
      <c r="L67" s="1085"/>
      <c r="M67" s="1085"/>
      <c r="N67" s="1085"/>
      <c r="O67" s="1085"/>
      <c r="P67" s="1085"/>
      <c r="Q67" s="1085"/>
      <c r="R67" s="1082"/>
    </row>
    <row r="68" spans="1:18" ht="15.75">
      <c r="A68" s="1076"/>
      <c r="B68" s="1088"/>
      <c r="C68" s="1094"/>
      <c r="D68" s="1083" t="s">
        <v>799</v>
      </c>
      <c r="E68" s="1080"/>
      <c r="F68" s="1080">
        <f t="shared" si="3"/>
        <v>282</v>
      </c>
      <c r="G68" s="1085"/>
      <c r="H68" s="1085"/>
      <c r="I68" s="1085"/>
      <c r="J68" s="1085"/>
      <c r="K68" s="1085">
        <v>282</v>
      </c>
      <c r="L68" s="1085"/>
      <c r="M68" s="1085"/>
      <c r="N68" s="1085"/>
      <c r="O68" s="1085"/>
      <c r="P68" s="1085"/>
      <c r="Q68" s="1085"/>
      <c r="R68" s="1082"/>
    </row>
    <row r="69" spans="1:18" ht="15.75">
      <c r="A69" s="1197" t="s">
        <v>200</v>
      </c>
      <c r="B69" s="1198"/>
      <c r="C69" s="1198"/>
      <c r="D69" s="1079" t="s">
        <v>4</v>
      </c>
      <c r="E69" s="1080">
        <f aca="true" t="shared" si="4" ref="E69:R71">(E57+E60+E63+E66)</f>
        <v>29965</v>
      </c>
      <c r="F69" s="1080">
        <f t="shared" si="4"/>
        <v>29965</v>
      </c>
      <c r="G69" s="1080">
        <f t="shared" si="4"/>
        <v>21629</v>
      </c>
      <c r="H69" s="1080">
        <f t="shared" si="4"/>
        <v>5555</v>
      </c>
      <c r="I69" s="1080">
        <f t="shared" si="4"/>
        <v>2081</v>
      </c>
      <c r="J69" s="1080">
        <f t="shared" si="4"/>
        <v>0</v>
      </c>
      <c r="K69" s="1080">
        <f t="shared" si="4"/>
        <v>700</v>
      </c>
      <c r="L69" s="1080">
        <f t="shared" si="4"/>
        <v>0</v>
      </c>
      <c r="M69" s="1080">
        <f t="shared" si="4"/>
        <v>0</v>
      </c>
      <c r="N69" s="1080">
        <f t="shared" si="4"/>
        <v>0</v>
      </c>
      <c r="O69" s="1080">
        <f t="shared" si="4"/>
        <v>0</v>
      </c>
      <c r="P69" s="1080">
        <f t="shared" si="4"/>
        <v>0</v>
      </c>
      <c r="Q69" s="1080">
        <f t="shared" si="4"/>
        <v>0</v>
      </c>
      <c r="R69" s="1092">
        <f t="shared" si="4"/>
        <v>0</v>
      </c>
    </row>
    <row r="70" spans="1:18" ht="15.75">
      <c r="A70" s="1076"/>
      <c r="B70" s="1077"/>
      <c r="C70" s="1078"/>
      <c r="D70" s="1083" t="s">
        <v>733</v>
      </c>
      <c r="E70" s="1080">
        <f t="shared" si="4"/>
        <v>30202</v>
      </c>
      <c r="F70" s="1080">
        <f t="shared" si="4"/>
        <v>30202</v>
      </c>
      <c r="G70" s="1080">
        <f t="shared" si="4"/>
        <v>20588</v>
      </c>
      <c r="H70" s="1080">
        <f t="shared" si="4"/>
        <v>5272</v>
      </c>
      <c r="I70" s="1080">
        <f t="shared" si="4"/>
        <v>3337</v>
      </c>
      <c r="J70" s="1080">
        <f t="shared" si="4"/>
        <v>0</v>
      </c>
      <c r="K70" s="1080">
        <f t="shared" si="4"/>
        <v>1005</v>
      </c>
      <c r="L70" s="1080">
        <f t="shared" si="4"/>
        <v>0</v>
      </c>
      <c r="M70" s="1080">
        <f t="shared" si="4"/>
        <v>0</v>
      </c>
      <c r="N70" s="1080">
        <f t="shared" si="4"/>
        <v>0</v>
      </c>
      <c r="O70" s="1080">
        <f t="shared" si="4"/>
        <v>0</v>
      </c>
      <c r="P70" s="1080">
        <f t="shared" si="4"/>
        <v>0</v>
      </c>
      <c r="Q70" s="1080">
        <f t="shared" si="4"/>
        <v>0</v>
      </c>
      <c r="R70" s="1092">
        <f t="shared" si="4"/>
        <v>0</v>
      </c>
    </row>
    <row r="71" spans="1:18" ht="15.75">
      <c r="A71" s="1076"/>
      <c r="B71" s="1088"/>
      <c r="C71" s="1094"/>
      <c r="D71" s="1083" t="s">
        <v>799</v>
      </c>
      <c r="E71" s="1080">
        <f t="shared" si="4"/>
        <v>30265</v>
      </c>
      <c r="F71" s="1080">
        <f t="shared" si="4"/>
        <v>30265</v>
      </c>
      <c r="G71" s="1080">
        <f t="shared" si="4"/>
        <v>20634</v>
      </c>
      <c r="H71" s="1080">
        <f t="shared" si="4"/>
        <v>5289</v>
      </c>
      <c r="I71" s="1080">
        <f t="shared" si="4"/>
        <v>3337</v>
      </c>
      <c r="J71" s="1080">
        <f t="shared" si="4"/>
        <v>0</v>
      </c>
      <c r="K71" s="1080">
        <f t="shared" si="4"/>
        <v>1005</v>
      </c>
      <c r="L71" s="1080"/>
      <c r="M71" s="1080"/>
      <c r="N71" s="1080"/>
      <c r="O71" s="1080"/>
      <c r="P71" s="1080"/>
      <c r="Q71" s="1080"/>
      <c r="R71" s="1092"/>
    </row>
    <row r="72" spans="1:18" ht="15.75">
      <c r="A72" s="1197" t="s">
        <v>557</v>
      </c>
      <c r="B72" s="1198"/>
      <c r="C72" s="1198"/>
      <c r="D72" s="1079"/>
      <c r="E72" s="1080"/>
      <c r="F72" s="1080"/>
      <c r="G72" s="1085"/>
      <c r="H72" s="1085"/>
      <c r="I72" s="1085"/>
      <c r="J72" s="1085"/>
      <c r="K72" s="1080"/>
      <c r="L72" s="1080"/>
      <c r="M72" s="1080"/>
      <c r="N72" s="1085"/>
      <c r="O72" s="1085"/>
      <c r="P72" s="1085"/>
      <c r="Q72" s="1085"/>
      <c r="R72" s="1082"/>
    </row>
    <row r="73" spans="1:18" ht="15.75">
      <c r="A73" s="1076" t="s">
        <v>313</v>
      </c>
      <c r="B73" s="1077" t="s">
        <v>17</v>
      </c>
      <c r="C73" s="1078" t="s">
        <v>188</v>
      </c>
      <c r="D73" s="1079" t="s">
        <v>4</v>
      </c>
      <c r="E73" s="1080">
        <v>7545</v>
      </c>
      <c r="F73" s="1080">
        <f aca="true" t="shared" si="5" ref="F73:F84">G73+H73+I73+J73+K73+L73+M73+N73+O73+P73+Q73+R73</f>
        <v>29062</v>
      </c>
      <c r="G73" s="1085">
        <v>19597</v>
      </c>
      <c r="H73" s="1085">
        <v>5265</v>
      </c>
      <c r="I73" s="1085">
        <v>4200</v>
      </c>
      <c r="J73" s="1085"/>
      <c r="K73" s="1085"/>
      <c r="L73" s="1085"/>
      <c r="M73" s="1085"/>
      <c r="N73" s="1085"/>
      <c r="O73" s="1085"/>
      <c r="P73" s="1085"/>
      <c r="Q73" s="1085"/>
      <c r="R73" s="1082"/>
    </row>
    <row r="74" spans="1:18" ht="15.75">
      <c r="A74" s="1076"/>
      <c r="B74" s="1077"/>
      <c r="C74" s="1078"/>
      <c r="D74" s="1083" t="s">
        <v>733</v>
      </c>
      <c r="E74" s="1080">
        <v>8288</v>
      </c>
      <c r="F74" s="1080">
        <f t="shared" si="5"/>
        <v>29667</v>
      </c>
      <c r="G74" s="1085">
        <v>20311</v>
      </c>
      <c r="H74" s="1085">
        <v>5455</v>
      </c>
      <c r="I74" s="1085">
        <v>3331</v>
      </c>
      <c r="J74" s="1085"/>
      <c r="K74" s="1085"/>
      <c r="L74" s="1085"/>
      <c r="M74" s="1085"/>
      <c r="N74" s="1085">
        <v>570</v>
      </c>
      <c r="O74" s="1085"/>
      <c r="P74" s="1085"/>
      <c r="Q74" s="1085"/>
      <c r="R74" s="1082"/>
    </row>
    <row r="75" spans="1:18" ht="15.75">
      <c r="A75" s="1076"/>
      <c r="B75" s="1077"/>
      <c r="C75" s="1078"/>
      <c r="D75" s="1083" t="s">
        <v>799</v>
      </c>
      <c r="E75" s="1080">
        <v>8398</v>
      </c>
      <c r="F75" s="1080">
        <f t="shared" si="5"/>
        <v>29750</v>
      </c>
      <c r="G75" s="1085">
        <v>20364</v>
      </c>
      <c r="H75" s="1085">
        <v>5475</v>
      </c>
      <c r="I75" s="1085">
        <v>3091</v>
      </c>
      <c r="J75" s="1085"/>
      <c r="K75" s="1085"/>
      <c r="L75" s="1085"/>
      <c r="M75" s="1085"/>
      <c r="N75" s="1085">
        <v>820</v>
      </c>
      <c r="O75" s="1085"/>
      <c r="P75" s="1085"/>
      <c r="Q75" s="1085"/>
      <c r="R75" s="1082"/>
    </row>
    <row r="76" spans="1:18" ht="15.75">
      <c r="A76" s="1076" t="s">
        <v>317</v>
      </c>
      <c r="B76" s="1077" t="s">
        <v>198</v>
      </c>
      <c r="C76" s="1078" t="s">
        <v>337</v>
      </c>
      <c r="D76" s="1079" t="s">
        <v>4</v>
      </c>
      <c r="E76" s="1080">
        <v>22980</v>
      </c>
      <c r="F76" s="1080">
        <f t="shared" si="5"/>
        <v>0</v>
      </c>
      <c r="G76" s="1081"/>
      <c r="H76" s="1081"/>
      <c r="I76" s="1081"/>
      <c r="J76" s="1081"/>
      <c r="K76" s="1081"/>
      <c r="L76" s="1081"/>
      <c r="M76" s="1081"/>
      <c r="N76" s="1081"/>
      <c r="O76" s="1081"/>
      <c r="P76" s="1081"/>
      <c r="Q76" s="1081"/>
      <c r="R76" s="1082"/>
    </row>
    <row r="77" spans="1:18" ht="15.75">
      <c r="A77" s="1076"/>
      <c r="B77" s="1077"/>
      <c r="C77" s="1078"/>
      <c r="D77" s="1083" t="s">
        <v>733</v>
      </c>
      <c r="E77" s="1080">
        <v>23173</v>
      </c>
      <c r="F77" s="1080">
        <f t="shared" si="5"/>
        <v>0</v>
      </c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2"/>
    </row>
    <row r="78" spans="1:18" ht="15.75">
      <c r="A78" s="1076"/>
      <c r="B78" s="1077"/>
      <c r="C78" s="1078"/>
      <c r="D78" s="1083" t="s">
        <v>799</v>
      </c>
      <c r="E78" s="1080">
        <v>23246</v>
      </c>
      <c r="F78" s="1080">
        <f t="shared" si="5"/>
        <v>0</v>
      </c>
      <c r="G78" s="1081"/>
      <c r="H78" s="1081"/>
      <c r="I78" s="1081"/>
      <c r="J78" s="1081"/>
      <c r="K78" s="1081"/>
      <c r="L78" s="1081"/>
      <c r="M78" s="1081"/>
      <c r="N78" s="1081"/>
      <c r="O78" s="1081"/>
      <c r="P78" s="1081"/>
      <c r="Q78" s="1081"/>
      <c r="R78" s="1082"/>
    </row>
    <row r="79" spans="1:18" ht="15.75">
      <c r="A79" s="1076" t="s">
        <v>317</v>
      </c>
      <c r="B79" s="1077" t="s">
        <v>194</v>
      </c>
      <c r="C79" s="1078" t="s">
        <v>411</v>
      </c>
      <c r="D79" s="1079" t="s">
        <v>4</v>
      </c>
      <c r="E79" s="1080"/>
      <c r="F79" s="1080">
        <f t="shared" si="5"/>
        <v>865</v>
      </c>
      <c r="G79" s="1085"/>
      <c r="H79" s="1085"/>
      <c r="I79" s="1085"/>
      <c r="J79" s="1085"/>
      <c r="K79" s="1085">
        <v>865</v>
      </c>
      <c r="L79" s="1085"/>
      <c r="M79" s="1085"/>
      <c r="N79" s="1085"/>
      <c r="O79" s="1085"/>
      <c r="P79" s="1085"/>
      <c r="Q79" s="1085"/>
      <c r="R79" s="1082"/>
    </row>
    <row r="80" spans="1:18" ht="15.75">
      <c r="A80" s="1076"/>
      <c r="B80" s="1077"/>
      <c r="C80" s="1078"/>
      <c r="D80" s="1083" t="s">
        <v>733</v>
      </c>
      <c r="E80" s="1080"/>
      <c r="F80" s="1080">
        <f t="shared" si="5"/>
        <v>1174</v>
      </c>
      <c r="G80" s="1085"/>
      <c r="H80" s="1085"/>
      <c r="I80" s="1085"/>
      <c r="J80" s="1085"/>
      <c r="K80" s="1085">
        <v>1174</v>
      </c>
      <c r="L80" s="1085"/>
      <c r="M80" s="1085"/>
      <c r="N80" s="1085"/>
      <c r="O80" s="1085"/>
      <c r="P80" s="1085"/>
      <c r="Q80" s="1085"/>
      <c r="R80" s="1082"/>
    </row>
    <row r="81" spans="1:18" ht="15.75">
      <c r="A81" s="1076"/>
      <c r="B81" s="1077"/>
      <c r="C81" s="1078"/>
      <c r="D81" s="1083" t="s">
        <v>799</v>
      </c>
      <c r="E81" s="1080"/>
      <c r="F81" s="1080">
        <f t="shared" si="5"/>
        <v>1174</v>
      </c>
      <c r="G81" s="1085"/>
      <c r="H81" s="1085"/>
      <c r="I81" s="1085"/>
      <c r="J81" s="1085"/>
      <c r="K81" s="1085">
        <v>1174</v>
      </c>
      <c r="L81" s="1085"/>
      <c r="M81" s="1085"/>
      <c r="N81" s="1085"/>
      <c r="O81" s="1085"/>
      <c r="P81" s="1085"/>
      <c r="Q81" s="1085"/>
      <c r="R81" s="1082"/>
    </row>
    <row r="82" spans="1:18" ht="15.75">
      <c r="A82" s="1076" t="s">
        <v>317</v>
      </c>
      <c r="B82" s="1077" t="s">
        <v>195</v>
      </c>
      <c r="C82" s="1078" t="s">
        <v>415</v>
      </c>
      <c r="D82" s="1079" t="s">
        <v>4</v>
      </c>
      <c r="E82" s="1080"/>
      <c r="F82" s="1080">
        <f t="shared" si="5"/>
        <v>598</v>
      </c>
      <c r="G82" s="1085"/>
      <c r="H82" s="1085"/>
      <c r="I82" s="1085"/>
      <c r="J82" s="1085"/>
      <c r="K82" s="1085">
        <v>598</v>
      </c>
      <c r="L82" s="1085"/>
      <c r="M82" s="1085"/>
      <c r="N82" s="1085"/>
      <c r="O82" s="1085"/>
      <c r="P82" s="1085"/>
      <c r="Q82" s="1085"/>
      <c r="R82" s="1082"/>
    </row>
    <row r="83" spans="1:18" ht="15.75">
      <c r="A83" s="1076"/>
      <c r="B83" s="1077"/>
      <c r="C83" s="1078"/>
      <c r="D83" s="1083" t="s">
        <v>733</v>
      </c>
      <c r="E83" s="1080"/>
      <c r="F83" s="1080">
        <f t="shared" si="5"/>
        <v>620</v>
      </c>
      <c r="G83" s="1085"/>
      <c r="H83" s="1085"/>
      <c r="I83" s="1085"/>
      <c r="J83" s="1085"/>
      <c r="K83" s="1085">
        <v>620</v>
      </c>
      <c r="L83" s="1085"/>
      <c r="M83" s="1085"/>
      <c r="N83" s="1085"/>
      <c r="O83" s="1085"/>
      <c r="P83" s="1085"/>
      <c r="Q83" s="1085"/>
      <c r="R83" s="1082"/>
    </row>
    <row r="84" spans="1:18" ht="15.75">
      <c r="A84" s="1076"/>
      <c r="B84" s="1088"/>
      <c r="C84" s="1094"/>
      <c r="D84" s="1083" t="s">
        <v>799</v>
      </c>
      <c r="E84" s="1080"/>
      <c r="F84" s="1080">
        <f t="shared" si="5"/>
        <v>720</v>
      </c>
      <c r="G84" s="1085"/>
      <c r="H84" s="1085"/>
      <c r="I84" s="1085"/>
      <c r="J84" s="1085"/>
      <c r="K84" s="1085">
        <v>720</v>
      </c>
      <c r="L84" s="1085"/>
      <c r="M84" s="1085"/>
      <c r="N84" s="1085"/>
      <c r="O84" s="1085"/>
      <c r="P84" s="1085"/>
      <c r="Q84" s="1085"/>
      <c r="R84" s="1082"/>
    </row>
    <row r="85" spans="1:18" ht="15.75">
      <c r="A85" s="1197" t="s">
        <v>201</v>
      </c>
      <c r="B85" s="1198"/>
      <c r="C85" s="1198"/>
      <c r="D85" s="1079" t="s">
        <v>4</v>
      </c>
      <c r="E85" s="1080">
        <f aca="true" t="shared" si="6" ref="E85:R87">(E73+E76+E79+E82)</f>
        <v>30525</v>
      </c>
      <c r="F85" s="1080">
        <f t="shared" si="6"/>
        <v>30525</v>
      </c>
      <c r="G85" s="1080">
        <f t="shared" si="6"/>
        <v>19597</v>
      </c>
      <c r="H85" s="1080">
        <f t="shared" si="6"/>
        <v>5265</v>
      </c>
      <c r="I85" s="1080">
        <f t="shared" si="6"/>
        <v>4200</v>
      </c>
      <c r="J85" s="1080">
        <f t="shared" si="6"/>
        <v>0</v>
      </c>
      <c r="K85" s="1080">
        <f t="shared" si="6"/>
        <v>1463</v>
      </c>
      <c r="L85" s="1080">
        <f t="shared" si="6"/>
        <v>0</v>
      </c>
      <c r="M85" s="1080">
        <f t="shared" si="6"/>
        <v>0</v>
      </c>
      <c r="N85" s="1080">
        <f t="shared" si="6"/>
        <v>0</v>
      </c>
      <c r="O85" s="1080">
        <f t="shared" si="6"/>
        <v>0</v>
      </c>
      <c r="P85" s="1080">
        <f t="shared" si="6"/>
        <v>0</v>
      </c>
      <c r="Q85" s="1080">
        <f t="shared" si="6"/>
        <v>0</v>
      </c>
      <c r="R85" s="1092">
        <f t="shared" si="6"/>
        <v>0</v>
      </c>
    </row>
    <row r="86" spans="1:18" ht="15.75">
      <c r="A86" s="1076"/>
      <c r="B86" s="1077"/>
      <c r="C86" s="1078"/>
      <c r="D86" s="1083" t="s">
        <v>733</v>
      </c>
      <c r="E86" s="1080">
        <f t="shared" si="6"/>
        <v>31461</v>
      </c>
      <c r="F86" s="1080">
        <f t="shared" si="6"/>
        <v>31461</v>
      </c>
      <c r="G86" s="1080">
        <f t="shared" si="6"/>
        <v>20311</v>
      </c>
      <c r="H86" s="1080">
        <f t="shared" si="6"/>
        <v>5455</v>
      </c>
      <c r="I86" s="1080">
        <f t="shared" si="6"/>
        <v>3331</v>
      </c>
      <c r="J86" s="1080">
        <f t="shared" si="6"/>
        <v>0</v>
      </c>
      <c r="K86" s="1080">
        <f t="shared" si="6"/>
        <v>1794</v>
      </c>
      <c r="L86" s="1080">
        <f t="shared" si="6"/>
        <v>0</v>
      </c>
      <c r="M86" s="1080">
        <f t="shared" si="6"/>
        <v>0</v>
      </c>
      <c r="N86" s="1080">
        <f t="shared" si="6"/>
        <v>570</v>
      </c>
      <c r="O86" s="1080">
        <f t="shared" si="6"/>
        <v>0</v>
      </c>
      <c r="P86" s="1080">
        <f t="shared" si="6"/>
        <v>0</v>
      </c>
      <c r="Q86" s="1080">
        <f t="shared" si="6"/>
        <v>0</v>
      </c>
      <c r="R86" s="1092">
        <f t="shared" si="6"/>
        <v>0</v>
      </c>
    </row>
    <row r="87" spans="1:18" ht="15.75">
      <c r="A87" s="1076"/>
      <c r="B87" s="1088"/>
      <c r="C87" s="1094"/>
      <c r="D87" s="1083" t="s">
        <v>799</v>
      </c>
      <c r="E87" s="1080">
        <f t="shared" si="6"/>
        <v>31644</v>
      </c>
      <c r="F87" s="1080">
        <f t="shared" si="6"/>
        <v>31644</v>
      </c>
      <c r="G87" s="1080">
        <f t="shared" si="6"/>
        <v>20364</v>
      </c>
      <c r="H87" s="1080">
        <f t="shared" si="6"/>
        <v>5475</v>
      </c>
      <c r="I87" s="1080">
        <f t="shared" si="6"/>
        <v>3091</v>
      </c>
      <c r="J87" s="1080">
        <f t="shared" si="6"/>
        <v>0</v>
      </c>
      <c r="K87" s="1080">
        <f t="shared" si="6"/>
        <v>1894</v>
      </c>
      <c r="L87" s="1080">
        <f t="shared" si="6"/>
        <v>0</v>
      </c>
      <c r="M87" s="1080">
        <f t="shared" si="6"/>
        <v>0</v>
      </c>
      <c r="N87" s="1080">
        <f t="shared" si="6"/>
        <v>820</v>
      </c>
      <c r="O87" s="1080">
        <f t="shared" si="6"/>
        <v>0</v>
      </c>
      <c r="P87" s="1080">
        <f t="shared" si="6"/>
        <v>0</v>
      </c>
      <c r="Q87" s="1080">
        <f t="shared" si="6"/>
        <v>0</v>
      </c>
      <c r="R87" s="1092">
        <f t="shared" si="6"/>
        <v>0</v>
      </c>
    </row>
    <row r="88" spans="1:18" ht="15.75">
      <c r="A88" s="1197" t="s">
        <v>558</v>
      </c>
      <c r="B88" s="1198"/>
      <c r="C88" s="1198"/>
      <c r="D88" s="1079"/>
      <c r="E88" s="1080"/>
      <c r="F88" s="1080"/>
      <c r="G88" s="1085"/>
      <c r="H88" s="1085"/>
      <c r="I88" s="1085"/>
      <c r="J88" s="1085"/>
      <c r="K88" s="1085"/>
      <c r="L88" s="1085"/>
      <c r="M88" s="1085"/>
      <c r="N88" s="1085"/>
      <c r="O88" s="1085"/>
      <c r="P88" s="1085"/>
      <c r="Q88" s="1085"/>
      <c r="R88" s="1082"/>
    </row>
    <row r="89" spans="1:18" ht="15.75">
      <c r="A89" s="1076" t="s">
        <v>313</v>
      </c>
      <c r="B89" s="1077" t="s">
        <v>17</v>
      </c>
      <c r="C89" s="1078" t="s">
        <v>188</v>
      </c>
      <c r="D89" s="1079" t="s">
        <v>4</v>
      </c>
      <c r="E89" s="1080">
        <v>3329</v>
      </c>
      <c r="F89" s="1080">
        <f aca="true" t="shared" si="7" ref="F89:F100">G89+H89+I89+J89+K89+L89+M89+N89+O89+P89+Q89+R89</f>
        <v>9821</v>
      </c>
      <c r="G89" s="1081">
        <v>6228</v>
      </c>
      <c r="H89" s="1081">
        <v>1663</v>
      </c>
      <c r="I89" s="1081">
        <v>1739</v>
      </c>
      <c r="J89" s="1081"/>
      <c r="K89" s="1081"/>
      <c r="L89" s="1081"/>
      <c r="M89" s="1081"/>
      <c r="N89" s="1081">
        <v>191</v>
      </c>
      <c r="O89" s="1095"/>
      <c r="P89" s="1081"/>
      <c r="Q89" s="1081"/>
      <c r="R89" s="1082"/>
    </row>
    <row r="90" spans="1:18" ht="15.75">
      <c r="A90" s="1076"/>
      <c r="B90" s="1077"/>
      <c r="C90" s="1078"/>
      <c r="D90" s="1083" t="s">
        <v>733</v>
      </c>
      <c r="E90" s="1080">
        <v>2905</v>
      </c>
      <c r="F90" s="1080">
        <f t="shared" si="7"/>
        <v>10161</v>
      </c>
      <c r="G90" s="1081">
        <v>6494</v>
      </c>
      <c r="H90" s="1081">
        <v>1727</v>
      </c>
      <c r="I90" s="1081">
        <v>1749</v>
      </c>
      <c r="J90" s="1081"/>
      <c r="K90" s="1081"/>
      <c r="L90" s="1081"/>
      <c r="M90" s="1081"/>
      <c r="N90" s="1081">
        <v>191</v>
      </c>
      <c r="O90" s="1095"/>
      <c r="P90" s="1081"/>
      <c r="Q90" s="1081"/>
      <c r="R90" s="1082"/>
    </row>
    <row r="91" spans="1:18" ht="15.75">
      <c r="A91" s="1076"/>
      <c r="B91" s="1077"/>
      <c r="C91" s="1078"/>
      <c r="D91" s="1083" t="s">
        <v>799</v>
      </c>
      <c r="E91" s="1080">
        <v>2742</v>
      </c>
      <c r="F91" s="1080">
        <f t="shared" si="7"/>
        <v>10144</v>
      </c>
      <c r="G91" s="1081">
        <v>6605</v>
      </c>
      <c r="H91" s="1081">
        <v>1762</v>
      </c>
      <c r="I91" s="1081">
        <v>1749</v>
      </c>
      <c r="J91" s="1081"/>
      <c r="K91" s="1081"/>
      <c r="L91" s="1081"/>
      <c r="M91" s="1081"/>
      <c r="N91" s="1081">
        <v>28</v>
      </c>
      <c r="O91" s="1095"/>
      <c r="P91" s="1081"/>
      <c r="Q91" s="1081"/>
      <c r="R91" s="1082"/>
    </row>
    <row r="92" spans="1:18" ht="15.75">
      <c r="A92" s="1076" t="s">
        <v>317</v>
      </c>
      <c r="B92" s="1077" t="s">
        <v>198</v>
      </c>
      <c r="C92" s="1078" t="s">
        <v>337</v>
      </c>
      <c r="D92" s="1079" t="s">
        <v>4</v>
      </c>
      <c r="E92" s="1080">
        <v>6994</v>
      </c>
      <c r="F92" s="1080">
        <f t="shared" si="7"/>
        <v>0</v>
      </c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2"/>
    </row>
    <row r="93" spans="1:18" ht="15.75">
      <c r="A93" s="1076"/>
      <c r="B93" s="1077"/>
      <c r="C93" s="1078"/>
      <c r="D93" s="1083" t="s">
        <v>733</v>
      </c>
      <c r="E93" s="1080">
        <v>7324</v>
      </c>
      <c r="F93" s="1080">
        <f t="shared" si="7"/>
        <v>0</v>
      </c>
      <c r="G93" s="1081"/>
      <c r="H93" s="1081"/>
      <c r="I93" s="1081"/>
      <c r="J93" s="1081"/>
      <c r="K93" s="1081"/>
      <c r="L93" s="1081"/>
      <c r="M93" s="1081"/>
      <c r="N93" s="1081"/>
      <c r="O93" s="1081"/>
      <c r="P93" s="1081"/>
      <c r="Q93" s="1081"/>
      <c r="R93" s="1082"/>
    </row>
    <row r="94" spans="1:18" ht="15.75">
      <c r="A94" s="1076"/>
      <c r="B94" s="1077"/>
      <c r="C94" s="1078"/>
      <c r="D94" s="1083" t="s">
        <v>799</v>
      </c>
      <c r="E94" s="1080">
        <v>7470</v>
      </c>
      <c r="F94" s="1080">
        <f t="shared" si="7"/>
        <v>0</v>
      </c>
      <c r="G94" s="1081"/>
      <c r="H94" s="1081"/>
      <c r="I94" s="1081"/>
      <c r="J94" s="1081"/>
      <c r="K94" s="1081"/>
      <c r="L94" s="1081"/>
      <c r="M94" s="1081"/>
      <c r="N94" s="1081"/>
      <c r="O94" s="1081"/>
      <c r="P94" s="1081"/>
      <c r="Q94" s="1081"/>
      <c r="R94" s="1082"/>
    </row>
    <row r="95" spans="1:18" ht="15.75">
      <c r="A95" s="1076" t="s">
        <v>317</v>
      </c>
      <c r="B95" s="1077" t="s">
        <v>194</v>
      </c>
      <c r="C95" s="1078" t="s">
        <v>411</v>
      </c>
      <c r="D95" s="1079" t="s">
        <v>4</v>
      </c>
      <c r="E95" s="1080"/>
      <c r="F95" s="1080">
        <f t="shared" si="7"/>
        <v>274</v>
      </c>
      <c r="G95" s="1081"/>
      <c r="H95" s="1081"/>
      <c r="I95" s="1081"/>
      <c r="J95" s="1081"/>
      <c r="K95" s="1081">
        <v>274</v>
      </c>
      <c r="L95" s="1081"/>
      <c r="M95" s="1081"/>
      <c r="N95" s="1081"/>
      <c r="O95" s="1081"/>
      <c r="P95" s="1081"/>
      <c r="Q95" s="1081"/>
      <c r="R95" s="1082"/>
    </row>
    <row r="96" spans="1:18" ht="15.75">
      <c r="A96" s="1076"/>
      <c r="B96" s="1077"/>
      <c r="C96" s="1078"/>
      <c r="D96" s="1083" t="s">
        <v>733</v>
      </c>
      <c r="E96" s="1080"/>
      <c r="F96" s="1080">
        <f t="shared" si="7"/>
        <v>68</v>
      </c>
      <c r="G96" s="1081"/>
      <c r="H96" s="1081"/>
      <c r="I96" s="1081"/>
      <c r="J96" s="1081"/>
      <c r="K96" s="1081">
        <v>68</v>
      </c>
      <c r="L96" s="1081"/>
      <c r="M96" s="1081"/>
      <c r="N96" s="1081"/>
      <c r="O96" s="1081"/>
      <c r="P96" s="1081"/>
      <c r="Q96" s="1081"/>
      <c r="R96" s="1082"/>
    </row>
    <row r="97" spans="1:18" ht="15.75">
      <c r="A97" s="1076"/>
      <c r="B97" s="1077"/>
      <c r="C97" s="1078"/>
      <c r="D97" s="1083" t="s">
        <v>799</v>
      </c>
      <c r="E97" s="1080"/>
      <c r="F97" s="1080">
        <f t="shared" si="7"/>
        <v>68</v>
      </c>
      <c r="G97" s="1081"/>
      <c r="H97" s="1081"/>
      <c r="I97" s="1081"/>
      <c r="J97" s="1081"/>
      <c r="K97" s="1081">
        <v>68</v>
      </c>
      <c r="L97" s="1081"/>
      <c r="M97" s="1081"/>
      <c r="N97" s="1081"/>
      <c r="O97" s="1081"/>
      <c r="P97" s="1081"/>
      <c r="Q97" s="1081"/>
      <c r="R97" s="1082"/>
    </row>
    <row r="98" spans="1:18" ht="15.75">
      <c r="A98" s="1076" t="s">
        <v>317</v>
      </c>
      <c r="B98" s="1077" t="s">
        <v>195</v>
      </c>
      <c r="C98" s="1078" t="s">
        <v>415</v>
      </c>
      <c r="D98" s="1079" t="s">
        <v>4</v>
      </c>
      <c r="E98" s="1080"/>
      <c r="F98" s="1080">
        <f t="shared" si="7"/>
        <v>228</v>
      </c>
      <c r="G98" s="1081"/>
      <c r="H98" s="1081"/>
      <c r="I98" s="1081"/>
      <c r="J98" s="1081"/>
      <c r="K98" s="1081">
        <v>228</v>
      </c>
      <c r="L98" s="1081"/>
      <c r="M98" s="1081"/>
      <c r="N98" s="1081"/>
      <c r="O98" s="1081"/>
      <c r="P98" s="1081"/>
      <c r="Q98" s="1081"/>
      <c r="R98" s="1082"/>
    </row>
    <row r="99" spans="1:18" ht="15.75">
      <c r="A99" s="1076"/>
      <c r="B99" s="1077"/>
      <c r="C99" s="1078"/>
      <c r="D99" s="1083" t="s">
        <v>733</v>
      </c>
      <c r="E99" s="1080"/>
      <c r="F99" s="1080">
        <f t="shared" si="7"/>
        <v>0</v>
      </c>
      <c r="G99" s="1081"/>
      <c r="H99" s="1081"/>
      <c r="I99" s="1081"/>
      <c r="J99" s="1081"/>
      <c r="K99" s="1081">
        <v>0</v>
      </c>
      <c r="L99" s="1081"/>
      <c r="M99" s="1081"/>
      <c r="N99" s="1081"/>
      <c r="O99" s="1081"/>
      <c r="P99" s="1081"/>
      <c r="Q99" s="1081"/>
      <c r="R99" s="1082"/>
    </row>
    <row r="100" spans="1:18" ht="15.75">
      <c r="A100" s="1076"/>
      <c r="B100" s="1088"/>
      <c r="C100" s="1094"/>
      <c r="D100" s="1083" t="s">
        <v>799</v>
      </c>
      <c r="E100" s="1080"/>
      <c r="F100" s="1080">
        <f t="shared" si="7"/>
        <v>0</v>
      </c>
      <c r="G100" s="1081"/>
      <c r="H100" s="1081"/>
      <c r="I100" s="1081"/>
      <c r="J100" s="1081"/>
      <c r="K100" s="1081"/>
      <c r="L100" s="1081"/>
      <c r="M100" s="1081"/>
      <c r="N100" s="1081"/>
      <c r="O100" s="1081"/>
      <c r="P100" s="1081"/>
      <c r="Q100" s="1081"/>
      <c r="R100" s="1082"/>
    </row>
    <row r="101" spans="1:18" ht="15.75">
      <c r="A101" s="1197" t="s">
        <v>202</v>
      </c>
      <c r="B101" s="1198"/>
      <c r="C101" s="1198"/>
      <c r="D101" s="1079" t="s">
        <v>4</v>
      </c>
      <c r="E101" s="1080">
        <f aca="true" t="shared" si="8" ref="E101:R103">(E89+E92+E95+E98)</f>
        <v>10323</v>
      </c>
      <c r="F101" s="1080">
        <f t="shared" si="8"/>
        <v>10323</v>
      </c>
      <c r="G101" s="1080">
        <f t="shared" si="8"/>
        <v>6228</v>
      </c>
      <c r="H101" s="1080">
        <f t="shared" si="8"/>
        <v>1663</v>
      </c>
      <c r="I101" s="1080">
        <f t="shared" si="8"/>
        <v>1739</v>
      </c>
      <c r="J101" s="1080">
        <f t="shared" si="8"/>
        <v>0</v>
      </c>
      <c r="K101" s="1080">
        <f t="shared" si="8"/>
        <v>502</v>
      </c>
      <c r="L101" s="1080">
        <f t="shared" si="8"/>
        <v>0</v>
      </c>
      <c r="M101" s="1080">
        <f t="shared" si="8"/>
        <v>0</v>
      </c>
      <c r="N101" s="1080">
        <f t="shared" si="8"/>
        <v>191</v>
      </c>
      <c r="O101" s="1080">
        <f t="shared" si="8"/>
        <v>0</v>
      </c>
      <c r="P101" s="1080">
        <f t="shared" si="8"/>
        <v>0</v>
      </c>
      <c r="Q101" s="1080">
        <f t="shared" si="8"/>
        <v>0</v>
      </c>
      <c r="R101" s="1092">
        <f t="shared" si="8"/>
        <v>0</v>
      </c>
    </row>
    <row r="102" spans="1:18" ht="15.75">
      <c r="A102" s="1076"/>
      <c r="B102" s="1077"/>
      <c r="C102" s="1078"/>
      <c r="D102" s="1083" t="s">
        <v>733</v>
      </c>
      <c r="E102" s="1080">
        <f t="shared" si="8"/>
        <v>10229</v>
      </c>
      <c r="F102" s="1080">
        <f t="shared" si="8"/>
        <v>10229</v>
      </c>
      <c r="G102" s="1080">
        <f t="shared" si="8"/>
        <v>6494</v>
      </c>
      <c r="H102" s="1080">
        <f t="shared" si="8"/>
        <v>1727</v>
      </c>
      <c r="I102" s="1080">
        <f t="shared" si="8"/>
        <v>1749</v>
      </c>
      <c r="J102" s="1080">
        <f t="shared" si="8"/>
        <v>0</v>
      </c>
      <c r="K102" s="1080">
        <f t="shared" si="8"/>
        <v>68</v>
      </c>
      <c r="L102" s="1080">
        <f t="shared" si="8"/>
        <v>0</v>
      </c>
      <c r="M102" s="1080">
        <f t="shared" si="8"/>
        <v>0</v>
      </c>
      <c r="N102" s="1080">
        <f t="shared" si="8"/>
        <v>191</v>
      </c>
      <c r="O102" s="1080">
        <f t="shared" si="8"/>
        <v>0</v>
      </c>
      <c r="P102" s="1080">
        <f t="shared" si="8"/>
        <v>0</v>
      </c>
      <c r="Q102" s="1080">
        <f t="shared" si="8"/>
        <v>0</v>
      </c>
      <c r="R102" s="1092">
        <f t="shared" si="8"/>
        <v>0</v>
      </c>
    </row>
    <row r="103" spans="1:18" ht="15.75">
      <c r="A103" s="1076"/>
      <c r="B103" s="1088"/>
      <c r="C103" s="1094"/>
      <c r="D103" s="1083" t="s">
        <v>799</v>
      </c>
      <c r="E103" s="1080">
        <f t="shared" si="8"/>
        <v>10212</v>
      </c>
      <c r="F103" s="1080">
        <f t="shared" si="8"/>
        <v>10212</v>
      </c>
      <c r="G103" s="1080">
        <f t="shared" si="8"/>
        <v>6605</v>
      </c>
      <c r="H103" s="1080">
        <f t="shared" si="8"/>
        <v>1762</v>
      </c>
      <c r="I103" s="1080">
        <f t="shared" si="8"/>
        <v>1749</v>
      </c>
      <c r="J103" s="1080">
        <f t="shared" si="8"/>
        <v>0</v>
      </c>
      <c r="K103" s="1080">
        <f t="shared" si="8"/>
        <v>68</v>
      </c>
      <c r="L103" s="1080">
        <f t="shared" si="8"/>
        <v>0</v>
      </c>
      <c r="M103" s="1080">
        <f t="shared" si="8"/>
        <v>0</v>
      </c>
      <c r="N103" s="1080">
        <f t="shared" si="8"/>
        <v>28</v>
      </c>
      <c r="O103" s="1080">
        <f t="shared" si="8"/>
        <v>0</v>
      </c>
      <c r="P103" s="1080">
        <f t="shared" si="8"/>
        <v>0</v>
      </c>
      <c r="Q103" s="1080">
        <f t="shared" si="8"/>
        <v>0</v>
      </c>
      <c r="R103" s="1092">
        <f t="shared" si="8"/>
        <v>0</v>
      </c>
    </row>
    <row r="104" spans="1:18" ht="15.75">
      <c r="A104" s="1197" t="s">
        <v>203</v>
      </c>
      <c r="B104" s="1198"/>
      <c r="C104" s="1198"/>
      <c r="D104" s="1096" t="s">
        <v>4</v>
      </c>
      <c r="E104" s="1080">
        <f>SUM(E69+E85+E101)</f>
        <v>70813</v>
      </c>
      <c r="F104" s="1080">
        <f>G104+H104+I104+J104+K104+L104+M104+N104+O104+P104+Q104+R104</f>
        <v>70813</v>
      </c>
      <c r="G104" s="1080">
        <f aca="true" t="shared" si="9" ref="G104:R106">G69+G85+G101</f>
        <v>47454</v>
      </c>
      <c r="H104" s="1080">
        <f t="shared" si="9"/>
        <v>12483</v>
      </c>
      <c r="I104" s="1080">
        <f t="shared" si="9"/>
        <v>8020</v>
      </c>
      <c r="J104" s="1080">
        <f t="shared" si="9"/>
        <v>0</v>
      </c>
      <c r="K104" s="1080">
        <f t="shared" si="9"/>
        <v>2665</v>
      </c>
      <c r="L104" s="1080">
        <f t="shared" si="9"/>
        <v>0</v>
      </c>
      <c r="M104" s="1080">
        <f t="shared" si="9"/>
        <v>0</v>
      </c>
      <c r="N104" s="1080">
        <f t="shared" si="9"/>
        <v>191</v>
      </c>
      <c r="O104" s="1080">
        <f t="shared" si="9"/>
        <v>0</v>
      </c>
      <c r="P104" s="1080">
        <f t="shared" si="9"/>
        <v>0</v>
      </c>
      <c r="Q104" s="1080">
        <f t="shared" si="9"/>
        <v>0</v>
      </c>
      <c r="R104" s="1092">
        <f t="shared" si="9"/>
        <v>0</v>
      </c>
    </row>
    <row r="105" spans="1:18" ht="15.75">
      <c r="A105" s="1076"/>
      <c r="B105" s="1077"/>
      <c r="C105" s="1078"/>
      <c r="D105" s="1097" t="s">
        <v>733</v>
      </c>
      <c r="E105" s="1080">
        <f>SUM(E70+E86+E102)</f>
        <v>71892</v>
      </c>
      <c r="F105" s="1080">
        <f>G105+H105+I105+J105+K105+L105+M105+N105+O105+P105+Q105+R105</f>
        <v>71892</v>
      </c>
      <c r="G105" s="1080">
        <f t="shared" si="9"/>
        <v>47393</v>
      </c>
      <c r="H105" s="1080">
        <f t="shared" si="9"/>
        <v>12454</v>
      </c>
      <c r="I105" s="1080">
        <f t="shared" si="9"/>
        <v>8417</v>
      </c>
      <c r="J105" s="1080">
        <f t="shared" si="9"/>
        <v>0</v>
      </c>
      <c r="K105" s="1080">
        <f t="shared" si="9"/>
        <v>2867</v>
      </c>
      <c r="L105" s="1080">
        <f t="shared" si="9"/>
        <v>0</v>
      </c>
      <c r="M105" s="1080">
        <f t="shared" si="9"/>
        <v>0</v>
      </c>
      <c r="N105" s="1080">
        <f t="shared" si="9"/>
        <v>761</v>
      </c>
      <c r="O105" s="1080">
        <f t="shared" si="9"/>
        <v>0</v>
      </c>
      <c r="P105" s="1080">
        <f t="shared" si="9"/>
        <v>0</v>
      </c>
      <c r="Q105" s="1080">
        <f t="shared" si="9"/>
        <v>0</v>
      </c>
      <c r="R105" s="1092">
        <f t="shared" si="9"/>
        <v>0</v>
      </c>
    </row>
    <row r="106" spans="1:18" ht="15.75">
      <c r="A106" s="1076"/>
      <c r="B106" s="1077"/>
      <c r="C106" s="1078"/>
      <c r="D106" s="1097" t="s">
        <v>799</v>
      </c>
      <c r="E106" s="1080">
        <f>SUM(E71+E87+E103)</f>
        <v>72121</v>
      </c>
      <c r="F106" s="1080">
        <f>G106+H106+I106+J106+K106+L106+M106+N106+O106+P106+Q106+R106</f>
        <v>72121</v>
      </c>
      <c r="G106" s="1080">
        <f t="shared" si="9"/>
        <v>47603</v>
      </c>
      <c r="H106" s="1080">
        <f t="shared" si="9"/>
        <v>12526</v>
      </c>
      <c r="I106" s="1080">
        <f t="shared" si="9"/>
        <v>8177</v>
      </c>
      <c r="J106" s="1080">
        <f t="shared" si="9"/>
        <v>0</v>
      </c>
      <c r="K106" s="1080">
        <f t="shared" si="9"/>
        <v>2967</v>
      </c>
      <c r="L106" s="1080">
        <f t="shared" si="9"/>
        <v>0</v>
      </c>
      <c r="M106" s="1080">
        <f t="shared" si="9"/>
        <v>0</v>
      </c>
      <c r="N106" s="1080">
        <f t="shared" si="9"/>
        <v>848</v>
      </c>
      <c r="O106" s="1080">
        <f t="shared" si="9"/>
        <v>0</v>
      </c>
      <c r="P106" s="1080">
        <f t="shared" si="9"/>
        <v>0</v>
      </c>
      <c r="Q106" s="1080">
        <f t="shared" si="9"/>
        <v>0</v>
      </c>
      <c r="R106" s="1092">
        <f t="shared" si="9"/>
        <v>0</v>
      </c>
    </row>
    <row r="107" spans="1:18" ht="15.75">
      <c r="A107" s="1197" t="s">
        <v>204</v>
      </c>
      <c r="B107" s="1198"/>
      <c r="C107" s="1198"/>
      <c r="D107" s="1096" t="s">
        <v>4</v>
      </c>
      <c r="E107" s="1080">
        <f aca="true" t="shared" si="10" ref="E107:R109">SUM(E52+E104)</f>
        <v>700533</v>
      </c>
      <c r="F107" s="1080">
        <f t="shared" si="10"/>
        <v>700533</v>
      </c>
      <c r="G107" s="1080">
        <f t="shared" si="10"/>
        <v>392724</v>
      </c>
      <c r="H107" s="1080">
        <f t="shared" si="10"/>
        <v>110887</v>
      </c>
      <c r="I107" s="1080">
        <f t="shared" si="10"/>
        <v>145311</v>
      </c>
      <c r="J107" s="1080">
        <f t="shared" si="10"/>
        <v>2000</v>
      </c>
      <c r="K107" s="1080">
        <f t="shared" si="10"/>
        <v>16777</v>
      </c>
      <c r="L107" s="1080">
        <f t="shared" si="10"/>
        <v>0</v>
      </c>
      <c r="M107" s="1080">
        <f t="shared" si="10"/>
        <v>0</v>
      </c>
      <c r="N107" s="1080">
        <f t="shared" si="10"/>
        <v>31834</v>
      </c>
      <c r="O107" s="1080">
        <f t="shared" si="10"/>
        <v>1000</v>
      </c>
      <c r="P107" s="1080">
        <f t="shared" si="10"/>
        <v>0</v>
      </c>
      <c r="Q107" s="1080">
        <f t="shared" si="10"/>
        <v>0</v>
      </c>
      <c r="R107" s="1092">
        <f t="shared" si="10"/>
        <v>0</v>
      </c>
    </row>
    <row r="108" spans="1:18" ht="15.75">
      <c r="A108" s="1076"/>
      <c r="B108" s="1077"/>
      <c r="C108" s="1078"/>
      <c r="D108" s="1097" t="s">
        <v>733</v>
      </c>
      <c r="E108" s="1080">
        <f t="shared" si="10"/>
        <v>729441</v>
      </c>
      <c r="F108" s="1080">
        <f t="shared" si="10"/>
        <v>729441</v>
      </c>
      <c r="G108" s="1080">
        <f t="shared" si="10"/>
        <v>404370</v>
      </c>
      <c r="H108" s="1080">
        <f t="shared" si="10"/>
        <v>113934</v>
      </c>
      <c r="I108" s="1080">
        <f t="shared" si="10"/>
        <v>152838</v>
      </c>
      <c r="J108" s="1080">
        <f t="shared" si="10"/>
        <v>1183</v>
      </c>
      <c r="K108" s="1080">
        <f t="shared" si="10"/>
        <v>29817</v>
      </c>
      <c r="L108" s="1080">
        <f t="shared" si="10"/>
        <v>0</v>
      </c>
      <c r="M108" s="1080">
        <f t="shared" si="10"/>
        <v>0</v>
      </c>
      <c r="N108" s="1080">
        <f t="shared" si="10"/>
        <v>26299</v>
      </c>
      <c r="O108" s="1080">
        <f t="shared" si="10"/>
        <v>1000</v>
      </c>
      <c r="P108" s="1080">
        <f t="shared" si="10"/>
        <v>0</v>
      </c>
      <c r="Q108" s="1080">
        <f t="shared" si="10"/>
        <v>0</v>
      </c>
      <c r="R108" s="1092">
        <f t="shared" si="10"/>
        <v>0</v>
      </c>
    </row>
    <row r="109" spans="1:18" ht="15.75">
      <c r="A109" s="1076"/>
      <c r="B109" s="1077"/>
      <c r="C109" s="1078"/>
      <c r="D109" s="1097" t="s">
        <v>799</v>
      </c>
      <c r="E109" s="1080">
        <f t="shared" si="10"/>
        <v>733674</v>
      </c>
      <c r="F109" s="1080">
        <f t="shared" si="10"/>
        <v>733674</v>
      </c>
      <c r="G109" s="1080">
        <f t="shared" si="10"/>
        <v>405770</v>
      </c>
      <c r="H109" s="1080">
        <f t="shared" si="10"/>
        <v>114314</v>
      </c>
      <c r="I109" s="1080">
        <f t="shared" si="10"/>
        <v>152227</v>
      </c>
      <c r="J109" s="1080">
        <f t="shared" si="10"/>
        <v>1183</v>
      </c>
      <c r="K109" s="1080">
        <f t="shared" si="10"/>
        <v>33298</v>
      </c>
      <c r="L109" s="1080">
        <f t="shared" si="10"/>
        <v>0</v>
      </c>
      <c r="M109" s="1080">
        <f t="shared" si="10"/>
        <v>0</v>
      </c>
      <c r="N109" s="1080">
        <f t="shared" si="10"/>
        <v>25882</v>
      </c>
      <c r="O109" s="1080">
        <f t="shared" si="10"/>
        <v>1000</v>
      </c>
      <c r="P109" s="1080">
        <f t="shared" si="10"/>
        <v>0</v>
      </c>
      <c r="Q109" s="1080">
        <f t="shared" si="10"/>
        <v>0</v>
      </c>
      <c r="R109" s="1092">
        <f t="shared" si="10"/>
        <v>0</v>
      </c>
    </row>
    <row r="110" spans="1:18" ht="15.75">
      <c r="A110" s="1076"/>
      <c r="B110" s="1077"/>
      <c r="C110" s="1078"/>
      <c r="D110" s="1096"/>
      <c r="E110" s="1080"/>
      <c r="F110" s="1080"/>
      <c r="G110" s="1081"/>
      <c r="H110" s="1081"/>
      <c r="I110" s="1081"/>
      <c r="J110" s="1081"/>
      <c r="K110" s="1081"/>
      <c r="L110" s="1081"/>
      <c r="M110" s="1081"/>
      <c r="N110" s="1081"/>
      <c r="O110" s="1081"/>
      <c r="P110" s="1081"/>
      <c r="Q110" s="1081"/>
      <c r="R110" s="1082"/>
    </row>
    <row r="111" spans="1:18" ht="15.75">
      <c r="A111" s="1197" t="s">
        <v>205</v>
      </c>
      <c r="B111" s="1198"/>
      <c r="C111" s="1198"/>
      <c r="D111" s="1096" t="s">
        <v>4</v>
      </c>
      <c r="E111" s="1098">
        <f aca="true" t="shared" si="11" ref="E111:R111">SUM(E19+E37+E40+E46+E60+E63+E66+E76+E79+E82+E92+E95+E98)</f>
        <v>658320</v>
      </c>
      <c r="F111" s="1098">
        <f t="shared" si="11"/>
        <v>28713</v>
      </c>
      <c r="G111" s="1098">
        <f t="shared" si="11"/>
        <v>9400</v>
      </c>
      <c r="H111" s="1098">
        <f t="shared" si="11"/>
        <v>2536</v>
      </c>
      <c r="I111" s="1098">
        <f t="shared" si="11"/>
        <v>0</v>
      </c>
      <c r="J111" s="1098">
        <f t="shared" si="11"/>
        <v>0</v>
      </c>
      <c r="K111" s="1098">
        <f t="shared" si="11"/>
        <v>16777</v>
      </c>
      <c r="L111" s="1098">
        <f t="shared" si="11"/>
        <v>0</v>
      </c>
      <c r="M111" s="1098">
        <f t="shared" si="11"/>
        <v>0</v>
      </c>
      <c r="N111" s="1098">
        <f t="shared" si="11"/>
        <v>0</v>
      </c>
      <c r="O111" s="1098">
        <f t="shared" si="11"/>
        <v>0</v>
      </c>
      <c r="P111" s="1098">
        <f t="shared" si="11"/>
        <v>0</v>
      </c>
      <c r="Q111" s="1098">
        <f t="shared" si="11"/>
        <v>0</v>
      </c>
      <c r="R111" s="1099">
        <f t="shared" si="11"/>
        <v>0</v>
      </c>
    </row>
    <row r="112" spans="1:18" ht="15.75">
      <c r="A112" s="1076"/>
      <c r="B112" s="1096"/>
      <c r="C112" s="1096"/>
      <c r="D112" s="1097" t="s">
        <v>733</v>
      </c>
      <c r="E112" s="1098">
        <f aca="true" t="shared" si="12" ref="E112:K113">SUM(E38+E41+E47+E61+E64+E67+E77+E80+E83+E93+E96+E99+E50)</f>
        <v>51298</v>
      </c>
      <c r="F112" s="1098">
        <f t="shared" si="12"/>
        <v>41753</v>
      </c>
      <c r="G112" s="1098">
        <f t="shared" si="12"/>
        <v>9400</v>
      </c>
      <c r="H112" s="1098">
        <f t="shared" si="12"/>
        <v>2536</v>
      </c>
      <c r="I112" s="1098">
        <f t="shared" si="12"/>
        <v>0</v>
      </c>
      <c r="J112" s="1098">
        <f t="shared" si="12"/>
        <v>0</v>
      </c>
      <c r="K112" s="1098">
        <f t="shared" si="12"/>
        <v>29817</v>
      </c>
      <c r="L112" s="1098">
        <f aca="true" t="shared" si="13" ref="L112:R113">SUM(L38+L41+L47+L61+L64+L67+L77+L80+L83+L93+L96+L99)</f>
        <v>0</v>
      </c>
      <c r="M112" s="1098">
        <f t="shared" si="13"/>
        <v>0</v>
      </c>
      <c r="N112" s="1098">
        <f t="shared" si="13"/>
        <v>0</v>
      </c>
      <c r="O112" s="1098">
        <f t="shared" si="13"/>
        <v>0</v>
      </c>
      <c r="P112" s="1098">
        <f t="shared" si="13"/>
        <v>0</v>
      </c>
      <c r="Q112" s="1098">
        <f t="shared" si="13"/>
        <v>0</v>
      </c>
      <c r="R112" s="1099">
        <f t="shared" si="13"/>
        <v>0</v>
      </c>
    </row>
    <row r="113" spans="1:18" ht="15.75">
      <c r="A113" s="1076"/>
      <c r="B113" s="1096"/>
      <c r="C113" s="1096"/>
      <c r="D113" s="1097" t="s">
        <v>799</v>
      </c>
      <c r="E113" s="1098">
        <f t="shared" si="12"/>
        <v>51580</v>
      </c>
      <c r="F113" s="1098">
        <f t="shared" si="12"/>
        <v>45234</v>
      </c>
      <c r="G113" s="1098">
        <f t="shared" si="12"/>
        <v>9400</v>
      </c>
      <c r="H113" s="1098">
        <f t="shared" si="12"/>
        <v>2536</v>
      </c>
      <c r="I113" s="1098">
        <f t="shared" si="12"/>
        <v>0</v>
      </c>
      <c r="J113" s="1098">
        <f t="shared" si="12"/>
        <v>0</v>
      </c>
      <c r="K113" s="1098">
        <f t="shared" si="12"/>
        <v>33298</v>
      </c>
      <c r="L113" s="1098">
        <f t="shared" si="13"/>
        <v>0</v>
      </c>
      <c r="M113" s="1098">
        <f t="shared" si="13"/>
        <v>0</v>
      </c>
      <c r="N113" s="1098">
        <f t="shared" si="13"/>
        <v>0</v>
      </c>
      <c r="O113" s="1098">
        <f t="shared" si="13"/>
        <v>0</v>
      </c>
      <c r="P113" s="1098">
        <f t="shared" si="13"/>
        <v>0</v>
      </c>
      <c r="Q113" s="1098">
        <f t="shared" si="13"/>
        <v>0</v>
      </c>
      <c r="R113" s="1099">
        <f t="shared" si="13"/>
        <v>0</v>
      </c>
    </row>
    <row r="114" spans="1:18" ht="15.75">
      <c r="A114" s="1076"/>
      <c r="B114" s="1100"/>
      <c r="C114" s="1100"/>
      <c r="D114" s="1096"/>
      <c r="E114" s="1098"/>
      <c r="F114" s="1098"/>
      <c r="G114" s="1098"/>
      <c r="H114" s="1098"/>
      <c r="I114" s="1098"/>
      <c r="J114" s="1098"/>
      <c r="K114" s="1098"/>
      <c r="L114" s="1098"/>
      <c r="M114" s="1098"/>
      <c r="N114" s="1098"/>
      <c r="O114" s="1098"/>
      <c r="P114" s="1098"/>
      <c r="Q114" s="1098"/>
      <c r="R114" s="1099"/>
    </row>
    <row r="115" spans="1:18" ht="15.75">
      <c r="A115" s="1197" t="s">
        <v>449</v>
      </c>
      <c r="B115" s="1198"/>
      <c r="C115" s="1198"/>
      <c r="D115" s="1096" t="s">
        <v>4</v>
      </c>
      <c r="E115" s="1098">
        <f aca="true" t="shared" si="14" ref="E115:R117">SUM(E22+E28+E34+E43)</f>
        <v>3015</v>
      </c>
      <c r="F115" s="1098">
        <f t="shared" si="14"/>
        <v>28939</v>
      </c>
      <c r="G115" s="1098">
        <f t="shared" si="14"/>
        <v>17249</v>
      </c>
      <c r="H115" s="1098">
        <f t="shared" si="14"/>
        <v>4633</v>
      </c>
      <c r="I115" s="1098">
        <f t="shared" si="14"/>
        <v>5107</v>
      </c>
      <c r="J115" s="1098">
        <f t="shared" si="14"/>
        <v>0</v>
      </c>
      <c r="K115" s="1098">
        <f t="shared" si="14"/>
        <v>0</v>
      </c>
      <c r="L115" s="1098">
        <f t="shared" si="14"/>
        <v>0</v>
      </c>
      <c r="M115" s="1098">
        <f t="shared" si="14"/>
        <v>0</v>
      </c>
      <c r="N115" s="1098">
        <f t="shared" si="14"/>
        <v>950</v>
      </c>
      <c r="O115" s="1098">
        <f t="shared" si="14"/>
        <v>1000</v>
      </c>
      <c r="P115" s="1098">
        <f t="shared" si="14"/>
        <v>0</v>
      </c>
      <c r="Q115" s="1098">
        <f t="shared" si="14"/>
        <v>0</v>
      </c>
      <c r="R115" s="1099">
        <f t="shared" si="14"/>
        <v>0</v>
      </c>
    </row>
    <row r="116" spans="1:18" ht="15.75">
      <c r="A116" s="1101"/>
      <c r="B116" s="1102"/>
      <c r="C116" s="1102"/>
      <c r="D116" s="1097" t="s">
        <v>733</v>
      </c>
      <c r="E116" s="1098">
        <f t="shared" si="14"/>
        <v>3015</v>
      </c>
      <c r="F116" s="1098">
        <f t="shared" si="14"/>
        <v>29460</v>
      </c>
      <c r="G116" s="1098">
        <f t="shared" si="14"/>
        <v>17249</v>
      </c>
      <c r="H116" s="1098">
        <f t="shared" si="14"/>
        <v>4633</v>
      </c>
      <c r="I116" s="1098">
        <f t="shared" si="14"/>
        <v>5628</v>
      </c>
      <c r="J116" s="1098">
        <f t="shared" si="14"/>
        <v>0</v>
      </c>
      <c r="K116" s="1098">
        <f t="shared" si="14"/>
        <v>0</v>
      </c>
      <c r="L116" s="1098">
        <f t="shared" si="14"/>
        <v>0</v>
      </c>
      <c r="M116" s="1098">
        <f t="shared" si="14"/>
        <v>0</v>
      </c>
      <c r="N116" s="1098">
        <f t="shared" si="14"/>
        <v>950</v>
      </c>
      <c r="O116" s="1098">
        <f t="shared" si="14"/>
        <v>1000</v>
      </c>
      <c r="P116" s="1098">
        <f t="shared" si="14"/>
        <v>0</v>
      </c>
      <c r="Q116" s="1098">
        <f t="shared" si="14"/>
        <v>0</v>
      </c>
      <c r="R116" s="1099">
        <f t="shared" si="14"/>
        <v>0</v>
      </c>
    </row>
    <row r="117" spans="1:18" ht="15.75">
      <c r="A117" s="1076"/>
      <c r="B117" s="1096"/>
      <c r="C117" s="1096"/>
      <c r="D117" s="1097" t="s">
        <v>799</v>
      </c>
      <c r="E117" s="1098">
        <f t="shared" si="14"/>
        <v>3015</v>
      </c>
      <c r="F117" s="1098">
        <f t="shared" si="14"/>
        <v>28585</v>
      </c>
      <c r="G117" s="1098">
        <f t="shared" si="14"/>
        <v>17249</v>
      </c>
      <c r="H117" s="1098">
        <f t="shared" si="14"/>
        <v>4633</v>
      </c>
      <c r="I117" s="1098">
        <f t="shared" si="14"/>
        <v>5257</v>
      </c>
      <c r="J117" s="1098">
        <f t="shared" si="14"/>
        <v>0</v>
      </c>
      <c r="K117" s="1098">
        <f t="shared" si="14"/>
        <v>0</v>
      </c>
      <c r="L117" s="1098">
        <f t="shared" si="14"/>
        <v>0</v>
      </c>
      <c r="M117" s="1098">
        <f t="shared" si="14"/>
        <v>0</v>
      </c>
      <c r="N117" s="1098">
        <f t="shared" si="14"/>
        <v>446</v>
      </c>
      <c r="O117" s="1098">
        <f t="shared" si="14"/>
        <v>1000</v>
      </c>
      <c r="P117" s="1098">
        <f t="shared" si="14"/>
        <v>0</v>
      </c>
      <c r="Q117" s="1098">
        <f t="shared" si="14"/>
        <v>0</v>
      </c>
      <c r="R117" s="1099">
        <f t="shared" si="14"/>
        <v>0</v>
      </c>
    </row>
    <row r="118" spans="1:18" ht="15.75">
      <c r="A118" s="1076"/>
      <c r="B118" s="1100"/>
      <c r="C118" s="1100"/>
      <c r="D118" s="1096"/>
      <c r="E118" s="1098"/>
      <c r="F118" s="1098"/>
      <c r="G118" s="1098"/>
      <c r="H118" s="1098"/>
      <c r="I118" s="1098"/>
      <c r="J118" s="1098"/>
      <c r="K118" s="1098"/>
      <c r="L118" s="1098"/>
      <c r="M118" s="1098"/>
      <c r="N118" s="1098"/>
      <c r="O118" s="1098"/>
      <c r="P118" s="1098"/>
      <c r="Q118" s="1098"/>
      <c r="R118" s="1099"/>
    </row>
    <row r="119" spans="1:18" ht="15.75">
      <c r="A119" s="1197" t="s">
        <v>450</v>
      </c>
      <c r="B119" s="1198"/>
      <c r="C119" s="1198"/>
      <c r="D119" s="1096" t="s">
        <v>4</v>
      </c>
      <c r="E119" s="1098">
        <f aca="true" t="shared" si="15" ref="E119:R119">SUM(E10+E13+E16+E25+E31+E57+E73+E89)</f>
        <v>39198</v>
      </c>
      <c r="F119" s="1098">
        <f t="shared" si="15"/>
        <v>642881</v>
      </c>
      <c r="G119" s="1098">
        <f t="shared" si="15"/>
        <v>366075</v>
      </c>
      <c r="H119" s="1098">
        <f t="shared" si="15"/>
        <v>103718</v>
      </c>
      <c r="I119" s="1098">
        <f t="shared" si="15"/>
        <v>140204</v>
      </c>
      <c r="J119" s="1098">
        <f t="shared" si="15"/>
        <v>2000</v>
      </c>
      <c r="K119" s="1098">
        <f t="shared" si="15"/>
        <v>0</v>
      </c>
      <c r="L119" s="1098">
        <f t="shared" si="15"/>
        <v>0</v>
      </c>
      <c r="M119" s="1098">
        <f t="shared" si="15"/>
        <v>0</v>
      </c>
      <c r="N119" s="1098">
        <f t="shared" si="15"/>
        <v>30884</v>
      </c>
      <c r="O119" s="1098">
        <f t="shared" si="15"/>
        <v>0</v>
      </c>
      <c r="P119" s="1098">
        <f t="shared" si="15"/>
        <v>0</v>
      </c>
      <c r="Q119" s="1098">
        <f t="shared" si="15"/>
        <v>0</v>
      </c>
      <c r="R119" s="1099">
        <f t="shared" si="15"/>
        <v>0</v>
      </c>
    </row>
    <row r="120" spans="1:18" ht="15.75">
      <c r="A120" s="1101"/>
      <c r="B120" s="1103"/>
      <c r="C120" s="1104"/>
      <c r="D120" s="1105" t="s">
        <v>733</v>
      </c>
      <c r="E120" s="1106">
        <f aca="true" t="shared" si="16" ref="E120:R121">SUM(E11+E14+E17+E26+E32+E58+E74+E90+E20)</f>
        <v>675128</v>
      </c>
      <c r="F120" s="1106">
        <f t="shared" si="16"/>
        <v>658228</v>
      </c>
      <c r="G120" s="1106">
        <f t="shared" si="16"/>
        <v>377721</v>
      </c>
      <c r="H120" s="1106">
        <f t="shared" si="16"/>
        <v>106765</v>
      </c>
      <c r="I120" s="1106">
        <f t="shared" si="16"/>
        <v>147210</v>
      </c>
      <c r="J120" s="1106">
        <f t="shared" si="16"/>
        <v>1183</v>
      </c>
      <c r="K120" s="1106">
        <f t="shared" si="16"/>
        <v>0</v>
      </c>
      <c r="L120" s="1106">
        <f t="shared" si="16"/>
        <v>0</v>
      </c>
      <c r="M120" s="1106">
        <f t="shared" si="16"/>
        <v>0</v>
      </c>
      <c r="N120" s="1106">
        <f t="shared" si="16"/>
        <v>25349</v>
      </c>
      <c r="O120" s="1106">
        <f t="shared" si="16"/>
        <v>0</v>
      </c>
      <c r="P120" s="1106">
        <f t="shared" si="16"/>
        <v>0</v>
      </c>
      <c r="Q120" s="1106">
        <f t="shared" si="16"/>
        <v>0</v>
      </c>
      <c r="R120" s="1107">
        <f t="shared" si="16"/>
        <v>0</v>
      </c>
    </row>
    <row r="121" spans="1:18" ht="16.5" thickBot="1">
      <c r="A121" s="1108"/>
      <c r="B121" s="1109"/>
      <c r="C121" s="1110"/>
      <c r="D121" s="1111" t="s">
        <v>799</v>
      </c>
      <c r="E121" s="1112">
        <f t="shared" si="16"/>
        <v>679079</v>
      </c>
      <c r="F121" s="1112">
        <f t="shared" si="16"/>
        <v>659855</v>
      </c>
      <c r="G121" s="1112">
        <f t="shared" si="16"/>
        <v>379121</v>
      </c>
      <c r="H121" s="1112">
        <f t="shared" si="16"/>
        <v>107145</v>
      </c>
      <c r="I121" s="1112">
        <f t="shared" si="16"/>
        <v>146970</v>
      </c>
      <c r="J121" s="1112">
        <f t="shared" si="16"/>
        <v>1183</v>
      </c>
      <c r="K121" s="1112">
        <f t="shared" si="16"/>
        <v>0</v>
      </c>
      <c r="L121" s="1112">
        <f t="shared" si="16"/>
        <v>0</v>
      </c>
      <c r="M121" s="1112">
        <f t="shared" si="16"/>
        <v>0</v>
      </c>
      <c r="N121" s="1112">
        <f t="shared" si="16"/>
        <v>25436</v>
      </c>
      <c r="O121" s="1112">
        <f t="shared" si="16"/>
        <v>0</v>
      </c>
      <c r="P121" s="1112">
        <f t="shared" si="16"/>
        <v>0</v>
      </c>
      <c r="Q121" s="1112">
        <f t="shared" si="16"/>
        <v>0</v>
      </c>
      <c r="R121" s="1113">
        <f t="shared" si="16"/>
        <v>0</v>
      </c>
    </row>
  </sheetData>
  <sheetProtection selectLockedCells="1" selectUnlockedCells="1"/>
  <mergeCells count="34">
    <mergeCell ref="A85:C85"/>
    <mergeCell ref="A111:C111"/>
    <mergeCell ref="A115:C115"/>
    <mergeCell ref="A119:C119"/>
    <mergeCell ref="A88:C88"/>
    <mergeCell ref="A101:C101"/>
    <mergeCell ref="A104:C104"/>
    <mergeCell ref="A107:C107"/>
    <mergeCell ref="N7:N8"/>
    <mergeCell ref="P7:P8"/>
    <mergeCell ref="A56:C56"/>
    <mergeCell ref="A9:C9"/>
    <mergeCell ref="J7:J8"/>
    <mergeCell ref="L7:L8"/>
    <mergeCell ref="A69:C69"/>
    <mergeCell ref="A72:C72"/>
    <mergeCell ref="Q7:Q8"/>
    <mergeCell ref="O7:O8"/>
    <mergeCell ref="A52:C52"/>
    <mergeCell ref="A6:D8"/>
    <mergeCell ref="Q6:R6"/>
    <mergeCell ref="G7:G8"/>
    <mergeCell ref="H7:H8"/>
    <mergeCell ref="I7:I8"/>
    <mergeCell ref="R7:R8"/>
    <mergeCell ref="B1:C1"/>
    <mergeCell ref="B3:P3"/>
    <mergeCell ref="B4:P4"/>
    <mergeCell ref="E6:E8"/>
    <mergeCell ref="F6:F8"/>
    <mergeCell ref="G6:L6"/>
    <mergeCell ref="M6:P6"/>
    <mergeCell ref="K7:K8"/>
    <mergeCell ref="M7:M8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scale="35" r:id="rId1"/>
  <headerFooter alignWithMargins="0">
    <oddHeader>&amp;L5. melléklet a 28/2015.(XII.18.) önkormányzati rendelethez
5. melléklet az 1/2015.(I.30.) önkormányzati rendelethez</oddHeader>
  </headerFooter>
  <rowBreaks count="1" manualBreakCount="1"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5"/>
  <sheetViews>
    <sheetView view="pageBreakPreview" zoomScale="77" zoomScaleNormal="57" zoomScaleSheetLayoutView="77" workbookViewId="0" topLeftCell="A1">
      <selection activeCell="O101" sqref="O101"/>
    </sheetView>
  </sheetViews>
  <sheetFormatPr defaultColWidth="8.875" defaultRowHeight="12.75"/>
  <cols>
    <col min="1" max="1" width="27.125" style="1010" customWidth="1"/>
    <col min="2" max="2" width="15.00390625" style="1009" customWidth="1"/>
    <col min="3" max="3" width="11.625" style="1009" customWidth="1"/>
    <col min="4" max="4" width="15.75390625" style="1009" customWidth="1"/>
    <col min="5" max="5" width="11.125" style="1009" customWidth="1"/>
    <col min="6" max="6" width="9.75390625" style="1009" customWidth="1"/>
    <col min="7" max="7" width="7.75390625" style="1009" customWidth="1"/>
    <col min="8" max="8" width="12.125" style="1009" customWidth="1"/>
    <col min="9" max="9" width="18.125" style="1009" customWidth="1"/>
    <col min="10" max="10" width="16.125" style="1009" customWidth="1"/>
    <col min="11" max="11" width="19.875" style="1009" customWidth="1"/>
    <col min="12" max="12" width="16.75390625" style="1009" customWidth="1"/>
    <col min="13" max="13" width="14.875" style="1009" customWidth="1"/>
    <col min="14" max="14" width="13.625" style="1009" customWidth="1"/>
    <col min="15" max="15" width="9.75390625" style="1009" customWidth="1"/>
    <col min="16" max="16" width="14.875" style="1009" customWidth="1"/>
    <col min="17" max="17" width="11.00390625" style="1009" customWidth="1"/>
    <col min="18" max="18" width="15.625" style="1009" customWidth="1"/>
    <col min="19" max="19" width="27.125" style="1009" customWidth="1"/>
    <col min="20" max="20" width="16.625" style="1009" customWidth="1"/>
    <col min="21" max="21" width="11.25390625" style="1009" customWidth="1"/>
    <col min="22" max="22" width="12.75390625" style="1009" customWidth="1"/>
    <col min="23" max="23" width="15.625" style="1009" customWidth="1"/>
    <col min="24" max="24" width="11.00390625" style="1009" customWidth="1"/>
    <col min="25" max="25" width="22.75390625" style="1009" customWidth="1"/>
    <col min="26" max="26" width="16.875" style="1009" customWidth="1"/>
    <col min="27" max="27" width="16.375" style="1009" customWidth="1"/>
    <col min="28" max="28" width="11.875" style="1009" customWidth="1"/>
    <col min="29" max="29" width="11.75390625" style="1009" customWidth="1"/>
    <col min="30" max="30" width="14.75390625" style="1009" customWidth="1"/>
    <col min="31" max="32" width="0" style="1009" hidden="1" customWidth="1"/>
    <col min="33" max="16384" width="8.875" style="1009" customWidth="1"/>
  </cols>
  <sheetData>
    <row r="1" spans="1:30" ht="12.75" customHeight="1" thickBot="1">
      <c r="A1" s="1205" t="s">
        <v>839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25" t="s">
        <v>840</v>
      </c>
      <c r="T1" s="1226"/>
      <c r="U1" s="1226"/>
      <c r="V1" s="1226"/>
      <c r="W1" s="1226"/>
      <c r="X1" s="1226"/>
      <c r="Y1" s="1226"/>
      <c r="Z1" s="1226"/>
      <c r="AA1" s="1226"/>
      <c r="AB1" s="1226"/>
      <c r="AC1" s="1226"/>
      <c r="AD1" s="1227"/>
    </row>
    <row r="2" spans="1:30" ht="12.75" customHeight="1">
      <c r="A2" s="1206" t="s">
        <v>841</v>
      </c>
      <c r="B2" s="1208" t="s">
        <v>842</v>
      </c>
      <c r="C2" s="1210"/>
      <c r="D2" s="1210" t="s">
        <v>616</v>
      </c>
      <c r="E2" s="1210"/>
      <c r="F2" s="1210"/>
      <c r="G2" s="1210"/>
      <c r="H2" s="1210" t="s">
        <v>595</v>
      </c>
      <c r="I2" s="1210"/>
      <c r="J2" s="1210"/>
      <c r="K2" s="1210"/>
      <c r="L2" s="990"/>
      <c r="M2" s="1210" t="s">
        <v>843</v>
      </c>
      <c r="N2" s="1210" t="s">
        <v>261</v>
      </c>
      <c r="O2" s="1210"/>
      <c r="P2" s="990"/>
      <c r="Q2" s="1210" t="s">
        <v>844</v>
      </c>
      <c r="R2" s="1210" t="s">
        <v>845</v>
      </c>
      <c r="S2" s="1228" t="s">
        <v>841</v>
      </c>
      <c r="T2" s="1228" t="s">
        <v>842</v>
      </c>
      <c r="U2" s="990"/>
      <c r="V2" s="991" t="s">
        <v>309</v>
      </c>
      <c r="W2" s="992"/>
      <c r="X2" s="992"/>
      <c r="Y2" s="992"/>
      <c r="Z2" s="992"/>
      <c r="AA2" s="1011"/>
      <c r="AB2" s="993" t="s">
        <v>310</v>
      </c>
      <c r="AC2" s="993"/>
      <c r="AD2" s="1230" t="s">
        <v>423</v>
      </c>
    </row>
    <row r="3" spans="1:32" ht="66.75" customHeight="1">
      <c r="A3" s="1207"/>
      <c r="B3" s="1209"/>
      <c r="C3" s="1211"/>
      <c r="D3" s="994" t="s">
        <v>846</v>
      </c>
      <c r="E3" s="994" t="s">
        <v>618</v>
      </c>
      <c r="F3" s="994" t="s">
        <v>211</v>
      </c>
      <c r="G3" s="994" t="s">
        <v>424</v>
      </c>
      <c r="H3" s="994" t="s">
        <v>1046</v>
      </c>
      <c r="I3" s="994" t="s">
        <v>1047</v>
      </c>
      <c r="J3" s="994" t="s">
        <v>1048</v>
      </c>
      <c r="K3" s="994" t="s">
        <v>1049</v>
      </c>
      <c r="L3" s="994" t="s">
        <v>1050</v>
      </c>
      <c r="M3" s="1211"/>
      <c r="N3" s="994" t="s">
        <v>1051</v>
      </c>
      <c r="O3" s="994" t="s">
        <v>1052</v>
      </c>
      <c r="P3" s="994" t="s">
        <v>847</v>
      </c>
      <c r="Q3" s="1211"/>
      <c r="R3" s="1211"/>
      <c r="S3" s="1229"/>
      <c r="T3" s="1229"/>
      <c r="U3" s="994"/>
      <c r="V3" s="994" t="s">
        <v>264</v>
      </c>
      <c r="W3" s="994" t="s">
        <v>1053</v>
      </c>
      <c r="X3" s="994" t="s">
        <v>427</v>
      </c>
      <c r="Y3" s="994" t="s">
        <v>848</v>
      </c>
      <c r="Z3" s="994" t="s">
        <v>571</v>
      </c>
      <c r="AA3" s="994" t="s">
        <v>849</v>
      </c>
      <c r="AB3" s="994" t="s">
        <v>276</v>
      </c>
      <c r="AC3" s="994" t="s">
        <v>277</v>
      </c>
      <c r="AD3" s="1231"/>
      <c r="AF3" s="995" t="s">
        <v>850</v>
      </c>
    </row>
    <row r="4" spans="1:32" ht="15.75">
      <c r="A4" s="1212" t="s">
        <v>851</v>
      </c>
      <c r="B4" s="996" t="s">
        <v>317</v>
      </c>
      <c r="C4" s="997" t="s">
        <v>4</v>
      </c>
      <c r="D4" s="998">
        <v>2175</v>
      </c>
      <c r="E4" s="998">
        <v>5644</v>
      </c>
      <c r="F4" s="998"/>
      <c r="G4" s="998">
        <v>2111</v>
      </c>
      <c r="H4" s="998">
        <v>0</v>
      </c>
      <c r="I4" s="998">
        <v>0</v>
      </c>
      <c r="J4" s="998">
        <v>0</v>
      </c>
      <c r="K4" s="998">
        <v>0</v>
      </c>
      <c r="L4" s="998"/>
      <c r="M4" s="998">
        <v>0</v>
      </c>
      <c r="N4" s="998">
        <v>0</v>
      </c>
      <c r="O4" s="998">
        <v>0</v>
      </c>
      <c r="P4" s="998">
        <v>83659</v>
      </c>
      <c r="Q4" s="998">
        <v>9930</v>
      </c>
      <c r="R4" s="999">
        <v>93589</v>
      </c>
      <c r="S4" s="1213" t="s">
        <v>851</v>
      </c>
      <c r="T4" s="1000" t="s">
        <v>317</v>
      </c>
      <c r="U4" s="997" t="s">
        <v>4</v>
      </c>
      <c r="V4" s="998">
        <v>58837</v>
      </c>
      <c r="W4" s="998">
        <v>15749</v>
      </c>
      <c r="X4" s="998">
        <v>18243</v>
      </c>
      <c r="Y4" s="998">
        <v>7136</v>
      </c>
      <c r="Z4" s="998">
        <v>0</v>
      </c>
      <c r="AA4" s="998">
        <v>0</v>
      </c>
      <c r="AB4" s="998">
        <v>760</v>
      </c>
      <c r="AC4" s="998">
        <v>0</v>
      </c>
      <c r="AD4" s="1001">
        <v>93589</v>
      </c>
      <c r="AF4" s="1012">
        <v>93589</v>
      </c>
    </row>
    <row r="5" spans="1:32" ht="15.75">
      <c r="A5" s="1212"/>
      <c r="B5" s="996" t="s">
        <v>317</v>
      </c>
      <c r="C5" s="997" t="s">
        <v>1045</v>
      </c>
      <c r="D5" s="998">
        <v>2181</v>
      </c>
      <c r="E5" s="998">
        <v>5644</v>
      </c>
      <c r="F5" s="998"/>
      <c r="G5" s="998">
        <v>2111</v>
      </c>
      <c r="H5" s="998">
        <v>0</v>
      </c>
      <c r="I5" s="998">
        <v>0</v>
      </c>
      <c r="J5" s="998">
        <v>0</v>
      </c>
      <c r="K5" s="998">
        <v>0</v>
      </c>
      <c r="L5" s="998">
        <v>27</v>
      </c>
      <c r="M5" s="998">
        <v>0</v>
      </c>
      <c r="N5" s="998">
        <v>-27</v>
      </c>
      <c r="O5" s="998">
        <v>0</v>
      </c>
      <c r="P5" s="998">
        <v>83927</v>
      </c>
      <c r="Q5" s="998">
        <v>9936</v>
      </c>
      <c r="R5" s="999">
        <v>93863</v>
      </c>
      <c r="S5" s="1213"/>
      <c r="T5" s="1000" t="s">
        <v>317</v>
      </c>
      <c r="U5" s="997" t="s">
        <v>852</v>
      </c>
      <c r="V5" s="998">
        <v>59056</v>
      </c>
      <c r="W5" s="998">
        <v>15798</v>
      </c>
      <c r="X5" s="998">
        <v>18249</v>
      </c>
      <c r="Y5" s="998">
        <v>7136</v>
      </c>
      <c r="Z5" s="998">
        <v>0</v>
      </c>
      <c r="AA5" s="998">
        <v>0</v>
      </c>
      <c r="AB5" s="998">
        <v>760</v>
      </c>
      <c r="AC5" s="998">
        <v>0</v>
      </c>
      <c r="AD5" s="1001">
        <v>93863</v>
      </c>
      <c r="AF5" s="1012"/>
    </row>
    <row r="6" spans="1:32" ht="15.75">
      <c r="A6" s="1212"/>
      <c r="B6" s="996" t="s">
        <v>317</v>
      </c>
      <c r="C6" s="997" t="s">
        <v>853</v>
      </c>
      <c r="D6" s="998">
        <v>2181</v>
      </c>
      <c r="E6" s="998">
        <v>5644</v>
      </c>
      <c r="F6" s="998"/>
      <c r="G6" s="998">
        <v>2111</v>
      </c>
      <c r="H6" s="998">
        <v>0</v>
      </c>
      <c r="I6" s="998">
        <v>0</v>
      </c>
      <c r="J6" s="998">
        <v>0</v>
      </c>
      <c r="K6" s="998">
        <v>0</v>
      </c>
      <c r="L6" s="998">
        <v>0</v>
      </c>
      <c r="M6" s="998">
        <v>0</v>
      </c>
      <c r="N6" s="998">
        <v>0</v>
      </c>
      <c r="O6" s="998">
        <v>0</v>
      </c>
      <c r="P6" s="998">
        <v>84215</v>
      </c>
      <c r="Q6" s="998">
        <v>9936</v>
      </c>
      <c r="R6" s="999">
        <v>94151</v>
      </c>
      <c r="S6" s="1213"/>
      <c r="T6" s="1000" t="s">
        <v>317</v>
      </c>
      <c r="U6" s="997" t="s">
        <v>853</v>
      </c>
      <c r="V6" s="998">
        <v>59283</v>
      </c>
      <c r="W6" s="998">
        <v>15859</v>
      </c>
      <c r="X6" s="998">
        <v>18249</v>
      </c>
      <c r="Y6" s="998">
        <v>7136</v>
      </c>
      <c r="Z6" s="998">
        <v>0</v>
      </c>
      <c r="AA6" s="998">
        <v>0</v>
      </c>
      <c r="AB6" s="998">
        <v>760</v>
      </c>
      <c r="AC6" s="998">
        <v>0</v>
      </c>
      <c r="AD6" s="1001">
        <v>94151</v>
      </c>
      <c r="AF6" s="1012"/>
    </row>
    <row r="7" spans="1:32" ht="15.75">
      <c r="A7" s="1212"/>
      <c r="B7" s="996" t="s">
        <v>317</v>
      </c>
      <c r="C7" s="997" t="s">
        <v>854</v>
      </c>
      <c r="D7" s="998">
        <v>2181</v>
      </c>
      <c r="E7" s="998">
        <v>5644</v>
      </c>
      <c r="F7" s="998"/>
      <c r="G7" s="998">
        <v>2111</v>
      </c>
      <c r="H7" s="998"/>
      <c r="I7" s="998">
        <v>0</v>
      </c>
      <c r="J7" s="998">
        <v>0</v>
      </c>
      <c r="K7" s="998">
        <v>0</v>
      </c>
      <c r="L7" s="998">
        <v>0</v>
      </c>
      <c r="M7" s="998">
        <v>0</v>
      </c>
      <c r="N7" s="998">
        <v>0</v>
      </c>
      <c r="O7" s="998">
        <v>0</v>
      </c>
      <c r="P7" s="998">
        <v>85467</v>
      </c>
      <c r="Q7" s="998">
        <v>9936</v>
      </c>
      <c r="R7" s="999">
        <v>95403</v>
      </c>
      <c r="S7" s="1213"/>
      <c r="T7" s="1000" t="s">
        <v>317</v>
      </c>
      <c r="U7" s="997" t="s">
        <v>854</v>
      </c>
      <c r="V7" s="998">
        <v>60261</v>
      </c>
      <c r="W7" s="998">
        <v>16133</v>
      </c>
      <c r="X7" s="998">
        <v>18249</v>
      </c>
      <c r="Y7" s="998">
        <v>7136</v>
      </c>
      <c r="Z7" s="998">
        <v>0</v>
      </c>
      <c r="AA7" s="998">
        <v>0</v>
      </c>
      <c r="AB7" s="998">
        <v>760</v>
      </c>
      <c r="AC7" s="998">
        <v>0</v>
      </c>
      <c r="AD7" s="1001">
        <v>95403</v>
      </c>
      <c r="AF7" s="1012"/>
    </row>
    <row r="8" spans="1:32" ht="15.75">
      <c r="A8" s="1214" t="s">
        <v>855</v>
      </c>
      <c r="B8" s="996" t="s">
        <v>317</v>
      </c>
      <c r="C8" s="997" t="s">
        <v>4</v>
      </c>
      <c r="D8" s="998">
        <v>359</v>
      </c>
      <c r="E8" s="998">
        <v>4729</v>
      </c>
      <c r="F8" s="998"/>
      <c r="G8" s="998">
        <v>1674</v>
      </c>
      <c r="H8" s="998">
        <v>0</v>
      </c>
      <c r="I8" s="998">
        <v>0</v>
      </c>
      <c r="J8" s="998">
        <v>0</v>
      </c>
      <c r="K8" s="998">
        <v>0</v>
      </c>
      <c r="L8" s="998"/>
      <c r="M8" s="998">
        <v>0</v>
      </c>
      <c r="N8" s="998">
        <v>0</v>
      </c>
      <c r="O8" s="998">
        <v>0</v>
      </c>
      <c r="P8" s="998">
        <v>69767</v>
      </c>
      <c r="Q8" s="998">
        <v>6762</v>
      </c>
      <c r="R8" s="999">
        <v>76529</v>
      </c>
      <c r="S8" s="1213" t="s">
        <v>855</v>
      </c>
      <c r="T8" s="1000" t="s">
        <v>317</v>
      </c>
      <c r="U8" s="997" t="s">
        <v>4</v>
      </c>
      <c r="V8" s="998">
        <v>49391</v>
      </c>
      <c r="W8" s="998">
        <v>13243</v>
      </c>
      <c r="X8" s="998">
        <v>13065</v>
      </c>
      <c r="Y8" s="998">
        <v>6176</v>
      </c>
      <c r="Z8" s="998">
        <v>0</v>
      </c>
      <c r="AA8" s="998">
        <v>0</v>
      </c>
      <c r="AB8" s="998">
        <v>830</v>
      </c>
      <c r="AC8" s="998">
        <v>0</v>
      </c>
      <c r="AD8" s="1001">
        <v>76529</v>
      </c>
      <c r="AF8" s="1012">
        <v>76529</v>
      </c>
    </row>
    <row r="9" spans="1:32" ht="15.75">
      <c r="A9" s="1214"/>
      <c r="B9" s="996" t="s">
        <v>317</v>
      </c>
      <c r="C9" s="997" t="s">
        <v>852</v>
      </c>
      <c r="D9" s="998">
        <v>359</v>
      </c>
      <c r="E9" s="998">
        <v>4729</v>
      </c>
      <c r="F9" s="998"/>
      <c r="G9" s="998">
        <v>1674</v>
      </c>
      <c r="H9" s="998">
        <v>0</v>
      </c>
      <c r="I9" s="998">
        <v>0</v>
      </c>
      <c r="J9" s="998">
        <v>0</v>
      </c>
      <c r="K9" s="998">
        <v>0</v>
      </c>
      <c r="L9" s="998"/>
      <c r="M9" s="998">
        <v>0</v>
      </c>
      <c r="N9" s="998">
        <v>32</v>
      </c>
      <c r="O9" s="998">
        <v>0</v>
      </c>
      <c r="P9" s="998">
        <v>69938</v>
      </c>
      <c r="Q9" s="998">
        <v>6794</v>
      </c>
      <c r="R9" s="999">
        <v>76732</v>
      </c>
      <c r="S9" s="1213"/>
      <c r="T9" s="1000" t="s">
        <v>317</v>
      </c>
      <c r="U9" s="997" t="s">
        <v>852</v>
      </c>
      <c r="V9" s="998">
        <v>49534</v>
      </c>
      <c r="W9" s="998">
        <v>13271</v>
      </c>
      <c r="X9" s="998">
        <v>13097</v>
      </c>
      <c r="Y9" s="998">
        <v>6176</v>
      </c>
      <c r="Z9" s="998">
        <v>0</v>
      </c>
      <c r="AA9" s="998">
        <v>0</v>
      </c>
      <c r="AB9" s="998">
        <v>830</v>
      </c>
      <c r="AC9" s="998">
        <v>0</v>
      </c>
      <c r="AD9" s="1001">
        <v>76732</v>
      </c>
      <c r="AF9" s="1012"/>
    </row>
    <row r="10" spans="1:32" ht="15.75">
      <c r="A10" s="1214"/>
      <c r="B10" s="996" t="s">
        <v>317</v>
      </c>
      <c r="C10" s="997" t="s">
        <v>853</v>
      </c>
      <c r="D10" s="998">
        <v>359</v>
      </c>
      <c r="E10" s="998">
        <v>4729</v>
      </c>
      <c r="F10" s="998"/>
      <c r="G10" s="998">
        <v>1674</v>
      </c>
      <c r="H10" s="998">
        <v>0</v>
      </c>
      <c r="I10" s="998">
        <v>0</v>
      </c>
      <c r="J10" s="998">
        <v>0</v>
      </c>
      <c r="K10" s="998">
        <v>0</v>
      </c>
      <c r="L10" s="998"/>
      <c r="M10" s="998">
        <v>0</v>
      </c>
      <c r="N10" s="998">
        <v>32</v>
      </c>
      <c r="O10" s="998">
        <v>0</v>
      </c>
      <c r="P10" s="998">
        <v>70225</v>
      </c>
      <c r="Q10" s="998">
        <v>6794</v>
      </c>
      <c r="R10" s="999">
        <v>77019</v>
      </c>
      <c r="S10" s="1213"/>
      <c r="T10" s="1000" t="s">
        <v>317</v>
      </c>
      <c r="U10" s="997" t="s">
        <v>853</v>
      </c>
      <c r="V10" s="998">
        <v>49760</v>
      </c>
      <c r="W10" s="998">
        <v>13332</v>
      </c>
      <c r="X10" s="998">
        <v>13097</v>
      </c>
      <c r="Y10" s="998">
        <v>6176</v>
      </c>
      <c r="Z10" s="998">
        <v>0</v>
      </c>
      <c r="AA10" s="998">
        <v>0</v>
      </c>
      <c r="AB10" s="998">
        <v>830</v>
      </c>
      <c r="AC10" s="998">
        <v>0</v>
      </c>
      <c r="AD10" s="1001">
        <v>77019</v>
      </c>
      <c r="AF10" s="1012"/>
    </row>
    <row r="11" spans="1:32" ht="15.75">
      <c r="A11" s="1214"/>
      <c r="B11" s="996" t="s">
        <v>317</v>
      </c>
      <c r="C11" s="997" t="s">
        <v>854</v>
      </c>
      <c r="D11" s="998">
        <v>359</v>
      </c>
      <c r="E11" s="998">
        <v>4729</v>
      </c>
      <c r="F11" s="998"/>
      <c r="G11" s="998">
        <v>1674</v>
      </c>
      <c r="H11" s="998">
        <v>0</v>
      </c>
      <c r="I11" s="998">
        <v>0</v>
      </c>
      <c r="J11" s="998">
        <v>0</v>
      </c>
      <c r="K11" s="998">
        <v>0</v>
      </c>
      <c r="L11" s="998"/>
      <c r="M11" s="998">
        <v>0</v>
      </c>
      <c r="N11" s="998">
        <v>32</v>
      </c>
      <c r="O11" s="998">
        <v>0</v>
      </c>
      <c r="P11" s="998">
        <v>71804</v>
      </c>
      <c r="Q11" s="998">
        <v>6794</v>
      </c>
      <c r="R11" s="999">
        <v>78598</v>
      </c>
      <c r="S11" s="1213"/>
      <c r="T11" s="1000" t="s">
        <v>317</v>
      </c>
      <c r="U11" s="997" t="s">
        <v>854</v>
      </c>
      <c r="V11" s="998">
        <v>50995</v>
      </c>
      <c r="W11" s="998">
        <v>13676</v>
      </c>
      <c r="X11" s="998">
        <v>13097</v>
      </c>
      <c r="Y11" s="998">
        <v>6176</v>
      </c>
      <c r="Z11" s="998">
        <v>0</v>
      </c>
      <c r="AA11" s="998">
        <v>0</v>
      </c>
      <c r="AB11" s="998">
        <v>830</v>
      </c>
      <c r="AC11" s="998">
        <v>0</v>
      </c>
      <c r="AD11" s="1001">
        <v>78598</v>
      </c>
      <c r="AF11" s="1012"/>
    </row>
    <row r="12" spans="1:32" ht="15.75">
      <c r="A12" s="1215" t="s">
        <v>856</v>
      </c>
      <c r="B12" s="1000" t="s">
        <v>317</v>
      </c>
      <c r="C12" s="997" t="s">
        <v>4</v>
      </c>
      <c r="D12" s="998">
        <v>0</v>
      </c>
      <c r="E12" s="998">
        <v>987</v>
      </c>
      <c r="F12" s="998"/>
      <c r="G12" s="998">
        <v>267</v>
      </c>
      <c r="H12" s="998">
        <v>0</v>
      </c>
      <c r="I12" s="998">
        <v>0</v>
      </c>
      <c r="J12" s="998">
        <v>0</v>
      </c>
      <c r="K12" s="998">
        <v>0</v>
      </c>
      <c r="L12" s="998"/>
      <c r="M12" s="998">
        <v>0</v>
      </c>
      <c r="N12" s="998">
        <v>0</v>
      </c>
      <c r="O12" s="998">
        <v>0</v>
      </c>
      <c r="P12" s="998">
        <v>15938</v>
      </c>
      <c r="Q12" s="998">
        <v>1254</v>
      </c>
      <c r="R12" s="999">
        <v>17192</v>
      </c>
      <c r="S12" s="1213" t="s">
        <v>856</v>
      </c>
      <c r="T12" s="1000" t="s">
        <v>317</v>
      </c>
      <c r="U12" s="997" t="s">
        <v>4</v>
      </c>
      <c r="V12" s="998">
        <v>10318</v>
      </c>
      <c r="W12" s="998">
        <v>2786</v>
      </c>
      <c r="X12" s="998">
        <v>4088</v>
      </c>
      <c r="Y12" s="998">
        <v>1250</v>
      </c>
      <c r="Z12" s="998">
        <v>0</v>
      </c>
      <c r="AA12" s="998">
        <v>0</v>
      </c>
      <c r="AB12" s="998">
        <v>0</v>
      </c>
      <c r="AC12" s="998">
        <v>0</v>
      </c>
      <c r="AD12" s="1001">
        <v>17192</v>
      </c>
      <c r="AE12" s="1002">
        <v>0</v>
      </c>
      <c r="AF12" s="998">
        <v>0</v>
      </c>
    </row>
    <row r="13" spans="1:32" ht="15.75">
      <c r="A13" s="1216"/>
      <c r="B13" s="1000" t="s">
        <v>317</v>
      </c>
      <c r="C13" s="997" t="s">
        <v>852</v>
      </c>
      <c r="D13" s="998">
        <v>0</v>
      </c>
      <c r="E13" s="998">
        <v>987</v>
      </c>
      <c r="F13" s="998"/>
      <c r="G13" s="998">
        <v>267</v>
      </c>
      <c r="H13" s="998">
        <v>0</v>
      </c>
      <c r="I13" s="998">
        <v>0</v>
      </c>
      <c r="J13" s="998">
        <v>0</v>
      </c>
      <c r="K13" s="998">
        <v>0</v>
      </c>
      <c r="L13" s="998"/>
      <c r="M13" s="998">
        <v>0</v>
      </c>
      <c r="N13" s="998">
        <v>0</v>
      </c>
      <c r="O13" s="998">
        <v>0</v>
      </c>
      <c r="P13" s="998">
        <v>15938</v>
      </c>
      <c r="Q13" s="998">
        <v>1254</v>
      </c>
      <c r="R13" s="999">
        <v>17192</v>
      </c>
      <c r="S13" s="1213"/>
      <c r="T13" s="1000" t="s">
        <v>317</v>
      </c>
      <c r="U13" s="997" t="s">
        <v>852</v>
      </c>
      <c r="V13" s="998">
        <v>10318</v>
      </c>
      <c r="W13" s="998">
        <v>2786</v>
      </c>
      <c r="X13" s="998">
        <v>4088</v>
      </c>
      <c r="Y13" s="998">
        <v>1250</v>
      </c>
      <c r="Z13" s="998">
        <v>0</v>
      </c>
      <c r="AA13" s="998">
        <v>0</v>
      </c>
      <c r="AB13" s="998">
        <v>0</v>
      </c>
      <c r="AC13" s="998">
        <v>0</v>
      </c>
      <c r="AD13" s="1001">
        <v>17192</v>
      </c>
      <c r="AE13" s="1003"/>
      <c r="AF13" s="1003"/>
    </row>
    <row r="14" spans="1:32" ht="15.75">
      <c r="A14" s="1216"/>
      <c r="B14" s="1000" t="s">
        <v>317</v>
      </c>
      <c r="C14" s="997" t="s">
        <v>853</v>
      </c>
      <c r="D14" s="998">
        <v>0</v>
      </c>
      <c r="E14" s="998">
        <v>987</v>
      </c>
      <c r="F14" s="998"/>
      <c r="G14" s="998">
        <v>267</v>
      </c>
      <c r="H14" s="998">
        <v>0</v>
      </c>
      <c r="I14" s="998">
        <v>0</v>
      </c>
      <c r="J14" s="998">
        <v>0</v>
      </c>
      <c r="K14" s="998">
        <v>0</v>
      </c>
      <c r="L14" s="998"/>
      <c r="M14" s="998">
        <v>0</v>
      </c>
      <c r="N14" s="998">
        <v>0</v>
      </c>
      <c r="O14" s="998">
        <v>0</v>
      </c>
      <c r="P14" s="998">
        <v>16028</v>
      </c>
      <c r="Q14" s="998">
        <v>1254</v>
      </c>
      <c r="R14" s="999">
        <v>17282</v>
      </c>
      <c r="S14" s="1213"/>
      <c r="T14" s="1000" t="s">
        <v>317</v>
      </c>
      <c r="U14" s="997" t="s">
        <v>853</v>
      </c>
      <c r="V14" s="998">
        <v>10318</v>
      </c>
      <c r="W14" s="998">
        <v>2786</v>
      </c>
      <c r="X14" s="998">
        <v>4166</v>
      </c>
      <c r="Y14" s="998">
        <v>1250</v>
      </c>
      <c r="Z14" s="998">
        <v>0</v>
      </c>
      <c r="AA14" s="998">
        <v>0</v>
      </c>
      <c r="AB14" s="998">
        <v>12</v>
      </c>
      <c r="AC14" s="998">
        <v>0</v>
      </c>
      <c r="AD14" s="1001">
        <v>17282</v>
      </c>
      <c r="AE14" s="1003"/>
      <c r="AF14" s="1003"/>
    </row>
    <row r="15" spans="1:32" ht="15.75">
      <c r="A15" s="1216"/>
      <c r="B15" s="1000" t="s">
        <v>317</v>
      </c>
      <c r="C15" s="997" t="s">
        <v>854</v>
      </c>
      <c r="D15" s="998">
        <v>0</v>
      </c>
      <c r="E15" s="998">
        <v>987</v>
      </c>
      <c r="F15" s="998"/>
      <c r="G15" s="998">
        <v>267</v>
      </c>
      <c r="H15" s="998">
        <v>0</v>
      </c>
      <c r="I15" s="998">
        <v>0</v>
      </c>
      <c r="J15" s="998">
        <v>0</v>
      </c>
      <c r="K15" s="998">
        <v>0</v>
      </c>
      <c r="L15" s="998"/>
      <c r="M15" s="998">
        <v>0</v>
      </c>
      <c r="N15" s="998">
        <v>0</v>
      </c>
      <c r="O15" s="998">
        <v>0</v>
      </c>
      <c r="P15" s="998">
        <v>16028</v>
      </c>
      <c r="Q15" s="998">
        <v>1254</v>
      </c>
      <c r="R15" s="999">
        <v>17282</v>
      </c>
      <c r="S15" s="1213"/>
      <c r="T15" s="1000" t="s">
        <v>317</v>
      </c>
      <c r="U15" s="997" t="s">
        <v>854</v>
      </c>
      <c r="V15" s="998">
        <v>10318</v>
      </c>
      <c r="W15" s="998">
        <v>2786</v>
      </c>
      <c r="X15" s="998">
        <v>4166</v>
      </c>
      <c r="Y15" s="998">
        <v>1250</v>
      </c>
      <c r="Z15" s="998">
        <v>0</v>
      </c>
      <c r="AA15" s="998">
        <v>0</v>
      </c>
      <c r="AB15" s="998">
        <v>12</v>
      </c>
      <c r="AC15" s="998">
        <v>0</v>
      </c>
      <c r="AD15" s="1001">
        <v>17282</v>
      </c>
      <c r="AE15" s="1003"/>
      <c r="AF15" s="1003"/>
    </row>
    <row r="16" spans="1:32" ht="15.75">
      <c r="A16" s="1216" t="s">
        <v>857</v>
      </c>
      <c r="B16" s="1000" t="s">
        <v>317</v>
      </c>
      <c r="C16" s="997" t="s">
        <v>4</v>
      </c>
      <c r="D16" s="998">
        <v>7660</v>
      </c>
      <c r="E16" s="998">
        <v>5490</v>
      </c>
      <c r="F16" s="998"/>
      <c r="G16" s="998">
        <v>3549</v>
      </c>
      <c r="H16" s="998">
        <v>0</v>
      </c>
      <c r="I16" s="998">
        <v>0</v>
      </c>
      <c r="J16" s="998">
        <v>0</v>
      </c>
      <c r="K16" s="998">
        <v>0</v>
      </c>
      <c r="L16" s="998"/>
      <c r="M16" s="998">
        <v>0</v>
      </c>
      <c r="N16" s="998">
        <v>0</v>
      </c>
      <c r="O16" s="998">
        <v>0</v>
      </c>
      <c r="P16" s="998">
        <v>88255</v>
      </c>
      <c r="Q16" s="998">
        <v>16699</v>
      </c>
      <c r="R16" s="999">
        <v>104954</v>
      </c>
      <c r="S16" s="1213" t="s">
        <v>857</v>
      </c>
      <c r="T16" s="1000" t="s">
        <v>317</v>
      </c>
      <c r="U16" s="997" t="s">
        <v>4</v>
      </c>
      <c r="V16" s="998">
        <v>61088</v>
      </c>
      <c r="W16" s="998">
        <v>16024</v>
      </c>
      <c r="X16" s="998">
        <v>27842</v>
      </c>
      <c r="Y16" s="998">
        <v>7190</v>
      </c>
      <c r="Z16" s="998">
        <v>0</v>
      </c>
      <c r="AA16" s="998">
        <v>0</v>
      </c>
      <c r="AB16" s="998">
        <v>0</v>
      </c>
      <c r="AC16" s="998">
        <v>0</v>
      </c>
      <c r="AD16" s="1001">
        <v>104954</v>
      </c>
      <c r="AF16" s="1012">
        <v>104954</v>
      </c>
    </row>
    <row r="17" spans="1:32" ht="15.75">
      <c r="A17" s="1216"/>
      <c r="B17" s="1000" t="s">
        <v>317</v>
      </c>
      <c r="C17" s="997" t="s">
        <v>852</v>
      </c>
      <c r="D17" s="998">
        <v>7660</v>
      </c>
      <c r="E17" s="998">
        <v>5490</v>
      </c>
      <c r="F17" s="998"/>
      <c r="G17" s="998">
        <v>3549</v>
      </c>
      <c r="H17" s="998">
        <v>0</v>
      </c>
      <c r="I17" s="998">
        <v>0</v>
      </c>
      <c r="J17" s="998">
        <v>0</v>
      </c>
      <c r="K17" s="998">
        <v>0</v>
      </c>
      <c r="L17" s="998"/>
      <c r="M17" s="998">
        <v>0</v>
      </c>
      <c r="N17" s="998">
        <v>311</v>
      </c>
      <c r="O17" s="998">
        <v>0</v>
      </c>
      <c r="P17" s="998">
        <v>88740</v>
      </c>
      <c r="Q17" s="998">
        <v>17010</v>
      </c>
      <c r="R17" s="999">
        <v>105750</v>
      </c>
      <c r="S17" s="1213"/>
      <c r="T17" s="1000" t="s">
        <v>317</v>
      </c>
      <c r="U17" s="997" t="s">
        <v>852</v>
      </c>
      <c r="V17" s="998">
        <v>61392</v>
      </c>
      <c r="W17" s="998">
        <v>16105</v>
      </c>
      <c r="X17" s="998">
        <v>27629</v>
      </c>
      <c r="Y17" s="998">
        <v>7190</v>
      </c>
      <c r="Z17" s="998">
        <v>0</v>
      </c>
      <c r="AA17" s="998">
        <v>311</v>
      </c>
      <c r="AB17" s="998">
        <v>313</v>
      </c>
      <c r="AC17" s="998">
        <v>0</v>
      </c>
      <c r="AD17" s="1001">
        <v>105750</v>
      </c>
      <c r="AF17" s="1012"/>
    </row>
    <row r="18" spans="1:32" ht="15.75">
      <c r="A18" s="1216"/>
      <c r="B18" s="1000" t="s">
        <v>317</v>
      </c>
      <c r="C18" s="997" t="s">
        <v>853</v>
      </c>
      <c r="D18" s="998">
        <v>9539</v>
      </c>
      <c r="E18" s="998">
        <v>5490</v>
      </c>
      <c r="F18" s="998"/>
      <c r="G18" s="998">
        <v>3570</v>
      </c>
      <c r="H18" s="998">
        <v>0</v>
      </c>
      <c r="I18" s="998">
        <v>0</v>
      </c>
      <c r="J18" s="998">
        <v>0</v>
      </c>
      <c r="K18" s="998">
        <v>0</v>
      </c>
      <c r="L18" s="998"/>
      <c r="M18" s="998">
        <v>0</v>
      </c>
      <c r="N18" s="998">
        <v>311</v>
      </c>
      <c r="O18" s="998">
        <v>0</v>
      </c>
      <c r="P18" s="998">
        <v>89035</v>
      </c>
      <c r="Q18" s="998">
        <v>18910</v>
      </c>
      <c r="R18" s="999">
        <v>107945</v>
      </c>
      <c r="S18" s="1213"/>
      <c r="T18" s="1000" t="s">
        <v>317</v>
      </c>
      <c r="U18" s="997" t="s">
        <v>853</v>
      </c>
      <c r="V18" s="998">
        <v>61427</v>
      </c>
      <c r="W18" s="998">
        <v>16115</v>
      </c>
      <c r="X18" s="998">
        <v>29779</v>
      </c>
      <c r="Y18" s="998">
        <v>7190</v>
      </c>
      <c r="Z18" s="998">
        <v>0</v>
      </c>
      <c r="AA18" s="998">
        <v>311</v>
      </c>
      <c r="AB18" s="998">
        <v>313</v>
      </c>
      <c r="AC18" s="998">
        <v>0</v>
      </c>
      <c r="AD18" s="1001">
        <v>107945</v>
      </c>
      <c r="AF18" s="1012"/>
    </row>
    <row r="19" spans="1:32" ht="15.75">
      <c r="A19" s="1216"/>
      <c r="B19" s="1000" t="s">
        <v>317</v>
      </c>
      <c r="C19" s="997" t="s">
        <v>854</v>
      </c>
      <c r="D19" s="998">
        <v>10010</v>
      </c>
      <c r="E19" s="998">
        <v>5490</v>
      </c>
      <c r="F19" s="998"/>
      <c r="G19" s="998">
        <v>3570</v>
      </c>
      <c r="H19" s="998">
        <v>0</v>
      </c>
      <c r="I19" s="998">
        <v>0</v>
      </c>
      <c r="J19" s="998">
        <v>0</v>
      </c>
      <c r="K19" s="998">
        <v>0</v>
      </c>
      <c r="L19" s="998"/>
      <c r="M19" s="998">
        <v>0</v>
      </c>
      <c r="N19" s="998">
        <v>311</v>
      </c>
      <c r="O19" s="998">
        <v>0</v>
      </c>
      <c r="P19" s="998">
        <v>87333</v>
      </c>
      <c r="Q19" s="998">
        <v>19381</v>
      </c>
      <c r="R19" s="999">
        <v>106714</v>
      </c>
      <c r="S19" s="1213"/>
      <c r="T19" s="1000" t="s">
        <v>317</v>
      </c>
      <c r="U19" s="997" t="s">
        <v>854</v>
      </c>
      <c r="V19" s="998">
        <v>60086</v>
      </c>
      <c r="W19" s="998">
        <v>15754</v>
      </c>
      <c r="X19" s="998">
        <v>30170</v>
      </c>
      <c r="Y19" s="998">
        <v>7190</v>
      </c>
      <c r="Z19" s="998">
        <v>0</v>
      </c>
      <c r="AA19" s="998">
        <v>311</v>
      </c>
      <c r="AB19" s="998">
        <v>393</v>
      </c>
      <c r="AC19" s="998">
        <v>0</v>
      </c>
      <c r="AD19" s="1001">
        <v>106714</v>
      </c>
      <c r="AF19" s="1012"/>
    </row>
    <row r="20" spans="1:32" ht="15.75">
      <c r="A20" s="1216" t="s">
        <v>858</v>
      </c>
      <c r="B20" s="1000" t="s">
        <v>317</v>
      </c>
      <c r="C20" s="997" t="s">
        <v>4</v>
      </c>
      <c r="D20" s="998">
        <v>16579</v>
      </c>
      <c r="E20" s="998">
        <v>3270</v>
      </c>
      <c r="F20" s="998"/>
      <c r="G20" s="998">
        <v>5359</v>
      </c>
      <c r="H20" s="998">
        <v>0</v>
      </c>
      <c r="I20" s="998">
        <v>0</v>
      </c>
      <c r="J20" s="998">
        <v>0</v>
      </c>
      <c r="K20" s="998">
        <v>0</v>
      </c>
      <c r="L20" s="998"/>
      <c r="M20" s="998">
        <v>0</v>
      </c>
      <c r="N20" s="998">
        <v>0</v>
      </c>
      <c r="O20" s="998">
        <v>0</v>
      </c>
      <c r="P20" s="998">
        <v>67404</v>
      </c>
      <c r="Q20" s="998">
        <v>25208</v>
      </c>
      <c r="R20" s="999">
        <v>92612</v>
      </c>
      <c r="S20" s="1213" t="s">
        <v>858</v>
      </c>
      <c r="T20" s="1000" t="s">
        <v>317</v>
      </c>
      <c r="U20" s="997" t="s">
        <v>4</v>
      </c>
      <c r="V20" s="998">
        <v>44524</v>
      </c>
      <c r="W20" s="998">
        <v>11849</v>
      </c>
      <c r="X20" s="998">
        <v>32539</v>
      </c>
      <c r="Y20" s="998">
        <v>3731</v>
      </c>
      <c r="Z20" s="998">
        <v>0</v>
      </c>
      <c r="AA20" s="998">
        <v>0</v>
      </c>
      <c r="AB20" s="998">
        <v>2000</v>
      </c>
      <c r="AC20" s="998">
        <v>1700</v>
      </c>
      <c r="AD20" s="1001">
        <v>92612</v>
      </c>
      <c r="AF20" s="1012">
        <v>92612</v>
      </c>
    </row>
    <row r="21" spans="1:32" ht="15.75">
      <c r="A21" s="1216"/>
      <c r="B21" s="1000" t="s">
        <v>317</v>
      </c>
      <c r="C21" s="997" t="s">
        <v>852</v>
      </c>
      <c r="D21" s="998">
        <v>16579</v>
      </c>
      <c r="E21" s="998">
        <v>3270</v>
      </c>
      <c r="F21" s="998"/>
      <c r="G21" s="998">
        <v>5359</v>
      </c>
      <c r="H21" s="998">
        <v>0</v>
      </c>
      <c r="I21" s="998">
        <v>0</v>
      </c>
      <c r="J21" s="998">
        <v>0</v>
      </c>
      <c r="K21" s="998">
        <v>0</v>
      </c>
      <c r="L21" s="998"/>
      <c r="M21" s="998">
        <v>0</v>
      </c>
      <c r="N21" s="998">
        <v>91</v>
      </c>
      <c r="O21" s="998">
        <v>0</v>
      </c>
      <c r="P21" s="998">
        <v>67631</v>
      </c>
      <c r="Q21" s="998">
        <v>25299</v>
      </c>
      <c r="R21" s="999">
        <v>92930</v>
      </c>
      <c r="S21" s="1213"/>
      <c r="T21" s="1000" t="s">
        <v>317</v>
      </c>
      <c r="U21" s="997" t="s">
        <v>852</v>
      </c>
      <c r="V21" s="998">
        <v>44711</v>
      </c>
      <c r="W21" s="998">
        <v>11889</v>
      </c>
      <c r="X21" s="998">
        <v>32630</v>
      </c>
      <c r="Y21" s="998">
        <v>3731</v>
      </c>
      <c r="Z21" s="998">
        <v>0</v>
      </c>
      <c r="AA21" s="998">
        <v>0</v>
      </c>
      <c r="AB21" s="998">
        <v>2000</v>
      </c>
      <c r="AC21" s="998">
        <v>1700</v>
      </c>
      <c r="AD21" s="1001">
        <v>92930</v>
      </c>
      <c r="AF21" s="1012"/>
    </row>
    <row r="22" spans="1:32" ht="15.75">
      <c r="A22" s="1216"/>
      <c r="B22" s="1000" t="s">
        <v>317</v>
      </c>
      <c r="C22" s="997" t="s">
        <v>853</v>
      </c>
      <c r="D22" s="998">
        <v>16579</v>
      </c>
      <c r="E22" s="998">
        <v>3270</v>
      </c>
      <c r="F22" s="998"/>
      <c r="G22" s="998">
        <v>5359</v>
      </c>
      <c r="H22" s="998">
        <v>0</v>
      </c>
      <c r="I22" s="998">
        <v>0</v>
      </c>
      <c r="J22" s="998">
        <v>0</v>
      </c>
      <c r="K22" s="998">
        <v>0</v>
      </c>
      <c r="L22" s="998"/>
      <c r="M22" s="998">
        <v>0</v>
      </c>
      <c r="N22" s="998">
        <v>91</v>
      </c>
      <c r="O22" s="998">
        <v>0</v>
      </c>
      <c r="P22" s="998">
        <v>67878</v>
      </c>
      <c r="Q22" s="998">
        <v>25299</v>
      </c>
      <c r="R22" s="999">
        <v>93177</v>
      </c>
      <c r="S22" s="1213"/>
      <c r="T22" s="1000" t="s">
        <v>317</v>
      </c>
      <c r="U22" s="997" t="s">
        <v>853</v>
      </c>
      <c r="V22" s="998">
        <v>44905</v>
      </c>
      <c r="W22" s="998">
        <v>11942</v>
      </c>
      <c r="X22" s="998">
        <v>32630</v>
      </c>
      <c r="Y22" s="998">
        <v>3731</v>
      </c>
      <c r="Z22" s="998">
        <v>0</v>
      </c>
      <c r="AA22" s="998">
        <v>0</v>
      </c>
      <c r="AB22" s="998">
        <v>2000</v>
      </c>
      <c r="AC22" s="998">
        <v>1700</v>
      </c>
      <c r="AD22" s="1001">
        <v>93177</v>
      </c>
      <c r="AF22" s="1012"/>
    </row>
    <row r="23" spans="1:32" ht="15.75">
      <c r="A23" s="1216"/>
      <c r="B23" s="1000" t="s">
        <v>317</v>
      </c>
      <c r="C23" s="997" t="s">
        <v>854</v>
      </c>
      <c r="D23" s="998">
        <v>16579</v>
      </c>
      <c r="E23" s="998">
        <v>3270</v>
      </c>
      <c r="F23" s="998"/>
      <c r="G23" s="998">
        <v>5359</v>
      </c>
      <c r="H23" s="998">
        <v>0</v>
      </c>
      <c r="I23" s="998">
        <v>0</v>
      </c>
      <c r="J23" s="998">
        <v>0</v>
      </c>
      <c r="K23" s="998">
        <v>0</v>
      </c>
      <c r="L23" s="998"/>
      <c r="M23" s="998">
        <v>0</v>
      </c>
      <c r="N23" s="998">
        <v>91</v>
      </c>
      <c r="O23" s="998">
        <v>0</v>
      </c>
      <c r="P23" s="998">
        <v>67049</v>
      </c>
      <c r="Q23" s="998">
        <v>25299</v>
      </c>
      <c r="R23" s="999">
        <v>92348</v>
      </c>
      <c r="S23" s="1213"/>
      <c r="T23" s="1000" t="s">
        <v>317</v>
      </c>
      <c r="U23" s="997" t="s">
        <v>854</v>
      </c>
      <c r="V23" s="998">
        <v>43674</v>
      </c>
      <c r="W23" s="998">
        <v>11624</v>
      </c>
      <c r="X23" s="998">
        <v>33350</v>
      </c>
      <c r="Y23" s="998">
        <v>3731</v>
      </c>
      <c r="Z23" s="998">
        <v>0</v>
      </c>
      <c r="AA23" s="998">
        <v>0</v>
      </c>
      <c r="AB23" s="998">
        <v>2000</v>
      </c>
      <c r="AC23" s="998">
        <v>1700</v>
      </c>
      <c r="AD23" s="1001">
        <v>92348</v>
      </c>
      <c r="AF23" s="1012"/>
    </row>
    <row r="24" spans="1:32" ht="15.75">
      <c r="A24" s="1216" t="s">
        <v>859</v>
      </c>
      <c r="B24" s="1000" t="s">
        <v>317</v>
      </c>
      <c r="C24" s="997" t="s">
        <v>4</v>
      </c>
      <c r="D24" s="998">
        <v>289</v>
      </c>
      <c r="E24" s="998">
        <v>5137</v>
      </c>
      <c r="F24" s="998"/>
      <c r="G24" s="998">
        <v>1765</v>
      </c>
      <c r="H24" s="998">
        <v>0</v>
      </c>
      <c r="I24" s="998">
        <v>0</v>
      </c>
      <c r="J24" s="998">
        <v>900</v>
      </c>
      <c r="K24" s="998">
        <v>0</v>
      </c>
      <c r="L24" s="998"/>
      <c r="M24" s="998">
        <v>0</v>
      </c>
      <c r="N24" s="998">
        <v>0</v>
      </c>
      <c r="O24" s="998">
        <v>0</v>
      </c>
      <c r="P24" s="998">
        <v>71391</v>
      </c>
      <c r="Q24" s="998">
        <v>8091</v>
      </c>
      <c r="R24" s="999">
        <v>79482</v>
      </c>
      <c r="S24" s="1213" t="s">
        <v>859</v>
      </c>
      <c r="T24" s="1000" t="s">
        <v>317</v>
      </c>
      <c r="U24" s="997" t="s">
        <v>4</v>
      </c>
      <c r="V24" s="998">
        <v>49218</v>
      </c>
      <c r="W24" s="998">
        <v>13077</v>
      </c>
      <c r="X24" s="998">
        <v>13633</v>
      </c>
      <c r="Y24" s="998">
        <v>6539</v>
      </c>
      <c r="Z24" s="998">
        <v>0</v>
      </c>
      <c r="AA24" s="998">
        <v>0</v>
      </c>
      <c r="AB24" s="998">
        <v>900</v>
      </c>
      <c r="AC24" s="998">
        <v>2654</v>
      </c>
      <c r="AD24" s="1001">
        <v>79482</v>
      </c>
      <c r="AF24" s="1012">
        <v>79482</v>
      </c>
    </row>
    <row r="25" spans="1:32" ht="15.75">
      <c r="A25" s="1216"/>
      <c r="B25" s="1000" t="s">
        <v>317</v>
      </c>
      <c r="C25" s="997" t="s">
        <v>852</v>
      </c>
      <c r="D25" s="998">
        <v>289</v>
      </c>
      <c r="E25" s="998">
        <v>5137</v>
      </c>
      <c r="F25" s="998"/>
      <c r="G25" s="998">
        <v>1765</v>
      </c>
      <c r="H25" s="998">
        <v>0</v>
      </c>
      <c r="I25" s="998">
        <v>0</v>
      </c>
      <c r="J25" s="998">
        <v>900</v>
      </c>
      <c r="K25" s="998">
        <v>0</v>
      </c>
      <c r="L25" s="998">
        <v>1938</v>
      </c>
      <c r="M25" s="998">
        <v>0</v>
      </c>
      <c r="N25" s="998">
        <v>-223</v>
      </c>
      <c r="O25" s="998">
        <v>0</v>
      </c>
      <c r="P25" s="998">
        <v>71660</v>
      </c>
      <c r="Q25" s="998">
        <v>9806</v>
      </c>
      <c r="R25" s="999">
        <v>81466</v>
      </c>
      <c r="S25" s="1213"/>
      <c r="T25" s="1000" t="s">
        <v>317</v>
      </c>
      <c r="U25" s="997" t="s">
        <v>852</v>
      </c>
      <c r="V25" s="998">
        <v>50705</v>
      </c>
      <c r="W25" s="998">
        <v>13474</v>
      </c>
      <c r="X25" s="998">
        <v>13733</v>
      </c>
      <c r="Y25" s="998">
        <v>6539</v>
      </c>
      <c r="Z25" s="998">
        <v>0</v>
      </c>
      <c r="AA25" s="998">
        <v>0</v>
      </c>
      <c r="AB25" s="998">
        <v>900</v>
      </c>
      <c r="AC25" s="998">
        <v>2654</v>
      </c>
      <c r="AD25" s="1001">
        <v>81466</v>
      </c>
      <c r="AF25" s="1012"/>
    </row>
    <row r="26" spans="1:32" ht="15.75">
      <c r="A26" s="1216"/>
      <c r="B26" s="1000" t="s">
        <v>317</v>
      </c>
      <c r="C26" s="997" t="s">
        <v>853</v>
      </c>
      <c r="D26" s="998">
        <v>289</v>
      </c>
      <c r="E26" s="998">
        <v>5137</v>
      </c>
      <c r="F26" s="998"/>
      <c r="G26" s="998">
        <v>1765</v>
      </c>
      <c r="H26" s="998">
        <v>0</v>
      </c>
      <c r="I26" s="998">
        <v>0</v>
      </c>
      <c r="J26" s="998">
        <v>900</v>
      </c>
      <c r="K26" s="998">
        <v>0</v>
      </c>
      <c r="L26" s="998">
        <v>1715</v>
      </c>
      <c r="M26" s="998">
        <v>0</v>
      </c>
      <c r="N26" s="998">
        <v>0</v>
      </c>
      <c r="O26" s="998">
        <v>0</v>
      </c>
      <c r="P26" s="998">
        <v>71936</v>
      </c>
      <c r="Q26" s="998">
        <v>9806</v>
      </c>
      <c r="R26" s="999">
        <v>81742</v>
      </c>
      <c r="S26" s="1213"/>
      <c r="T26" s="1000" t="s">
        <v>317</v>
      </c>
      <c r="U26" s="997" t="s">
        <v>853</v>
      </c>
      <c r="V26" s="998">
        <v>50922</v>
      </c>
      <c r="W26" s="998">
        <v>13533</v>
      </c>
      <c r="X26" s="998">
        <v>13515</v>
      </c>
      <c r="Y26" s="998">
        <v>6539</v>
      </c>
      <c r="Z26" s="998">
        <v>0</v>
      </c>
      <c r="AA26" s="998">
        <v>0</v>
      </c>
      <c r="AB26" s="998">
        <v>1000</v>
      </c>
      <c r="AC26" s="998">
        <v>2772</v>
      </c>
      <c r="AD26" s="1001">
        <v>81742</v>
      </c>
      <c r="AF26" s="1012"/>
    </row>
    <row r="27" spans="1:32" ht="15.75">
      <c r="A27" s="1216"/>
      <c r="B27" s="1000" t="s">
        <v>317</v>
      </c>
      <c r="C27" s="997" t="s">
        <v>854</v>
      </c>
      <c r="D27" s="998">
        <v>289</v>
      </c>
      <c r="E27" s="998">
        <v>5137</v>
      </c>
      <c r="F27" s="998"/>
      <c r="G27" s="998">
        <v>2206</v>
      </c>
      <c r="H27" s="998">
        <v>0</v>
      </c>
      <c r="I27" s="998">
        <v>0</v>
      </c>
      <c r="J27" s="998">
        <v>900</v>
      </c>
      <c r="K27" s="998">
        <v>0</v>
      </c>
      <c r="L27" s="998">
        <v>1715</v>
      </c>
      <c r="M27" s="998">
        <v>0</v>
      </c>
      <c r="N27" s="998">
        <v>0</v>
      </c>
      <c r="O27" s="998">
        <v>0</v>
      </c>
      <c r="P27" s="998">
        <v>72648</v>
      </c>
      <c r="Q27" s="998">
        <v>10247</v>
      </c>
      <c r="R27" s="999">
        <v>82895</v>
      </c>
      <c r="S27" s="1213"/>
      <c r="T27" s="1000" t="s">
        <v>317</v>
      </c>
      <c r="U27" s="997" t="s">
        <v>854</v>
      </c>
      <c r="V27" s="998">
        <v>51422</v>
      </c>
      <c r="W27" s="998">
        <v>13673</v>
      </c>
      <c r="X27" s="998">
        <v>13978</v>
      </c>
      <c r="Y27" s="998">
        <v>6539</v>
      </c>
      <c r="Z27" s="998">
        <v>0</v>
      </c>
      <c r="AA27" s="998">
        <v>0</v>
      </c>
      <c r="AB27" s="998">
        <v>1050</v>
      </c>
      <c r="AC27" s="998">
        <v>2772</v>
      </c>
      <c r="AD27" s="1001">
        <v>82895</v>
      </c>
      <c r="AF27" s="1012"/>
    </row>
    <row r="28" spans="1:32" ht="15.75">
      <c r="A28" s="1216" t="s">
        <v>860</v>
      </c>
      <c r="B28" s="1000" t="s">
        <v>317</v>
      </c>
      <c r="C28" s="997" t="s">
        <v>4</v>
      </c>
      <c r="D28" s="998">
        <v>163</v>
      </c>
      <c r="E28" s="998">
        <v>1340</v>
      </c>
      <c r="F28" s="998"/>
      <c r="G28" s="998">
        <v>406</v>
      </c>
      <c r="H28" s="998">
        <v>0</v>
      </c>
      <c r="I28" s="998">
        <v>0</v>
      </c>
      <c r="J28" s="998">
        <v>0</v>
      </c>
      <c r="K28" s="998">
        <v>0</v>
      </c>
      <c r="L28" s="998"/>
      <c r="M28" s="998">
        <v>0</v>
      </c>
      <c r="N28" s="998">
        <v>0</v>
      </c>
      <c r="O28" s="998">
        <v>0</v>
      </c>
      <c r="P28" s="998">
        <v>29010</v>
      </c>
      <c r="Q28" s="998">
        <v>1909</v>
      </c>
      <c r="R28" s="999">
        <v>30919</v>
      </c>
      <c r="S28" s="1213" t="s">
        <v>860</v>
      </c>
      <c r="T28" s="1000" t="s">
        <v>317</v>
      </c>
      <c r="U28" s="997" t="s">
        <v>4</v>
      </c>
      <c r="V28" s="998">
        <v>18672</v>
      </c>
      <c r="W28" s="998">
        <v>4952</v>
      </c>
      <c r="X28" s="998">
        <v>7295</v>
      </c>
      <c r="Y28" s="998">
        <v>3152</v>
      </c>
      <c r="Z28" s="998">
        <v>0</v>
      </c>
      <c r="AA28" s="998">
        <v>0</v>
      </c>
      <c r="AB28" s="998">
        <v>0</v>
      </c>
      <c r="AC28" s="998">
        <v>0</v>
      </c>
      <c r="AD28" s="1001">
        <v>30919</v>
      </c>
      <c r="AF28" s="1012">
        <v>30919</v>
      </c>
    </row>
    <row r="29" spans="1:32" ht="15.75">
      <c r="A29" s="1216"/>
      <c r="B29" s="1000" t="s">
        <v>317</v>
      </c>
      <c r="C29" s="997" t="s">
        <v>852</v>
      </c>
      <c r="D29" s="998">
        <v>163</v>
      </c>
      <c r="E29" s="998">
        <v>1340</v>
      </c>
      <c r="F29" s="998"/>
      <c r="G29" s="998">
        <v>406</v>
      </c>
      <c r="H29" s="998">
        <v>0</v>
      </c>
      <c r="I29" s="998">
        <v>0</v>
      </c>
      <c r="J29" s="998">
        <v>0</v>
      </c>
      <c r="K29" s="998">
        <v>0</v>
      </c>
      <c r="L29" s="998"/>
      <c r="M29" s="998">
        <v>0</v>
      </c>
      <c r="N29" s="998">
        <v>0</v>
      </c>
      <c r="O29" s="998">
        <v>0</v>
      </c>
      <c r="P29" s="998">
        <v>29133</v>
      </c>
      <c r="Q29" s="998">
        <v>1909</v>
      </c>
      <c r="R29" s="999">
        <v>31042</v>
      </c>
      <c r="S29" s="1213"/>
      <c r="T29" s="1000" t="s">
        <v>317</v>
      </c>
      <c r="U29" s="997" t="s">
        <v>852</v>
      </c>
      <c r="V29" s="998">
        <v>18690</v>
      </c>
      <c r="W29" s="998">
        <v>4957</v>
      </c>
      <c r="X29" s="998">
        <v>7395</v>
      </c>
      <c r="Y29" s="998">
        <v>3152</v>
      </c>
      <c r="Z29" s="998">
        <v>0</v>
      </c>
      <c r="AA29" s="998">
        <v>0</v>
      </c>
      <c r="AB29" s="998">
        <v>0</v>
      </c>
      <c r="AC29" s="998">
        <v>0</v>
      </c>
      <c r="AD29" s="1001">
        <v>31042</v>
      </c>
      <c r="AF29" s="1012"/>
    </row>
    <row r="30" spans="1:32" ht="15.75">
      <c r="A30" s="1216"/>
      <c r="B30" s="1000" t="s">
        <v>317</v>
      </c>
      <c r="C30" s="997" t="s">
        <v>853</v>
      </c>
      <c r="D30" s="998">
        <v>163</v>
      </c>
      <c r="E30" s="998">
        <v>1340</v>
      </c>
      <c r="F30" s="998"/>
      <c r="G30" s="998">
        <v>406</v>
      </c>
      <c r="H30" s="998">
        <v>0</v>
      </c>
      <c r="I30" s="998">
        <v>0</v>
      </c>
      <c r="J30" s="998">
        <v>0</v>
      </c>
      <c r="K30" s="998">
        <v>0</v>
      </c>
      <c r="L30" s="998"/>
      <c r="M30" s="998">
        <v>0</v>
      </c>
      <c r="N30" s="998">
        <v>0</v>
      </c>
      <c r="O30" s="998">
        <v>0</v>
      </c>
      <c r="P30" s="998">
        <v>29133</v>
      </c>
      <c r="Q30" s="998">
        <v>1909</v>
      </c>
      <c r="R30" s="999">
        <v>31042</v>
      </c>
      <c r="S30" s="1213"/>
      <c r="T30" s="1000" t="s">
        <v>317</v>
      </c>
      <c r="U30" s="997" t="s">
        <v>853</v>
      </c>
      <c r="V30" s="998">
        <v>18690</v>
      </c>
      <c r="W30" s="998">
        <v>4957</v>
      </c>
      <c r="X30" s="998">
        <v>7395</v>
      </c>
      <c r="Y30" s="998">
        <v>3152</v>
      </c>
      <c r="Z30" s="998">
        <v>0</v>
      </c>
      <c r="AA30" s="998">
        <v>0</v>
      </c>
      <c r="AB30" s="998">
        <v>0</v>
      </c>
      <c r="AC30" s="998">
        <v>0</v>
      </c>
      <c r="AD30" s="1001">
        <v>31042</v>
      </c>
      <c r="AF30" s="1012"/>
    </row>
    <row r="31" spans="1:32" ht="15.75">
      <c r="A31" s="1216"/>
      <c r="B31" s="1000" t="s">
        <v>317</v>
      </c>
      <c r="C31" s="997" t="s">
        <v>854</v>
      </c>
      <c r="D31" s="998">
        <v>163</v>
      </c>
      <c r="E31" s="998">
        <v>1340</v>
      </c>
      <c r="F31" s="998"/>
      <c r="G31" s="998">
        <v>406</v>
      </c>
      <c r="H31" s="998">
        <v>0</v>
      </c>
      <c r="I31" s="998">
        <v>0</v>
      </c>
      <c r="J31" s="998">
        <v>0</v>
      </c>
      <c r="K31" s="998">
        <v>0</v>
      </c>
      <c r="L31" s="998"/>
      <c r="M31" s="998">
        <v>0</v>
      </c>
      <c r="N31" s="998">
        <v>0</v>
      </c>
      <c r="O31" s="998">
        <v>0</v>
      </c>
      <c r="P31" s="998">
        <v>29133</v>
      </c>
      <c r="Q31" s="998">
        <v>1909</v>
      </c>
      <c r="R31" s="999">
        <v>31042</v>
      </c>
      <c r="S31" s="1213"/>
      <c r="T31" s="1000" t="s">
        <v>317</v>
      </c>
      <c r="U31" s="997" t="s">
        <v>854</v>
      </c>
      <c r="V31" s="998">
        <v>18690</v>
      </c>
      <c r="W31" s="998">
        <v>4957</v>
      </c>
      <c r="X31" s="998">
        <v>7395</v>
      </c>
      <c r="Y31" s="998">
        <v>3152</v>
      </c>
      <c r="Z31" s="998">
        <v>0</v>
      </c>
      <c r="AA31" s="998">
        <v>0</v>
      </c>
      <c r="AB31" s="998">
        <v>0</v>
      </c>
      <c r="AC31" s="998">
        <v>0</v>
      </c>
      <c r="AD31" s="1001">
        <v>31042</v>
      </c>
      <c r="AF31" s="1012"/>
    </row>
    <row r="32" spans="1:32" ht="15.75">
      <c r="A32" s="1216" t="s">
        <v>861</v>
      </c>
      <c r="B32" s="1000" t="s">
        <v>317</v>
      </c>
      <c r="C32" s="997" t="s">
        <v>4</v>
      </c>
      <c r="D32" s="998">
        <v>11553</v>
      </c>
      <c r="E32" s="998">
        <v>11112</v>
      </c>
      <c r="F32" s="998"/>
      <c r="G32" s="998">
        <v>4430</v>
      </c>
      <c r="H32" s="998">
        <v>0</v>
      </c>
      <c r="I32" s="998">
        <v>0</v>
      </c>
      <c r="J32" s="998">
        <v>0</v>
      </c>
      <c r="K32" s="998">
        <v>0</v>
      </c>
      <c r="L32" s="998"/>
      <c r="M32" s="998">
        <v>0</v>
      </c>
      <c r="N32" s="998">
        <v>0</v>
      </c>
      <c r="O32" s="998">
        <v>0</v>
      </c>
      <c r="P32" s="998">
        <v>85285</v>
      </c>
      <c r="Q32" s="998">
        <v>27095</v>
      </c>
      <c r="R32" s="999">
        <v>112380</v>
      </c>
      <c r="S32" s="1213" t="s">
        <v>861</v>
      </c>
      <c r="T32" s="1000" t="s">
        <v>317</v>
      </c>
      <c r="U32" s="997" t="s">
        <v>4</v>
      </c>
      <c r="V32" s="998">
        <v>56910</v>
      </c>
      <c r="W32" s="998">
        <v>14642</v>
      </c>
      <c r="X32" s="998">
        <v>32695</v>
      </c>
      <c r="Y32" s="998">
        <v>5404</v>
      </c>
      <c r="Z32" s="998">
        <v>0</v>
      </c>
      <c r="AA32" s="998">
        <v>0</v>
      </c>
      <c r="AB32" s="998">
        <v>1293</v>
      </c>
      <c r="AC32" s="998">
        <v>6840</v>
      </c>
      <c r="AD32" s="1001">
        <v>112380</v>
      </c>
      <c r="AF32" s="1012">
        <v>112380</v>
      </c>
    </row>
    <row r="33" spans="1:32" ht="15.75">
      <c r="A33" s="1216"/>
      <c r="B33" s="1000" t="s">
        <v>317</v>
      </c>
      <c r="C33" s="997" t="s">
        <v>852</v>
      </c>
      <c r="D33" s="998">
        <v>11553</v>
      </c>
      <c r="E33" s="998">
        <v>11112</v>
      </c>
      <c r="F33" s="998"/>
      <c r="G33" s="998">
        <v>4430</v>
      </c>
      <c r="H33" s="998">
        <v>651</v>
      </c>
      <c r="I33" s="998">
        <v>0</v>
      </c>
      <c r="J33" s="998">
        <v>0</v>
      </c>
      <c r="K33" s="998">
        <v>0</v>
      </c>
      <c r="L33" s="998"/>
      <c r="M33" s="998">
        <v>0</v>
      </c>
      <c r="N33" s="998">
        <v>313</v>
      </c>
      <c r="O33" s="998">
        <v>0</v>
      </c>
      <c r="P33" s="998">
        <v>88488</v>
      </c>
      <c r="Q33" s="998">
        <v>28059</v>
      </c>
      <c r="R33" s="999">
        <v>116547</v>
      </c>
      <c r="S33" s="1213"/>
      <c r="T33" s="1000" t="s">
        <v>317</v>
      </c>
      <c r="U33" s="997" t="s">
        <v>852</v>
      </c>
      <c r="V33" s="998">
        <v>59708</v>
      </c>
      <c r="W33" s="998">
        <v>15360</v>
      </c>
      <c r="X33" s="998">
        <v>32695</v>
      </c>
      <c r="Y33" s="998">
        <v>5404</v>
      </c>
      <c r="Z33" s="998">
        <v>0</v>
      </c>
      <c r="AA33" s="998">
        <v>0</v>
      </c>
      <c r="AB33" s="998">
        <v>2744</v>
      </c>
      <c r="AC33" s="998">
        <v>6040</v>
      </c>
      <c r="AD33" s="1001">
        <v>116547</v>
      </c>
      <c r="AF33" s="1012"/>
    </row>
    <row r="34" spans="1:32" ht="15.75">
      <c r="A34" s="1216"/>
      <c r="B34" s="1000" t="s">
        <v>317</v>
      </c>
      <c r="C34" s="997" t="s">
        <v>853</v>
      </c>
      <c r="D34" s="998">
        <v>11553</v>
      </c>
      <c r="E34" s="998">
        <v>11112</v>
      </c>
      <c r="F34" s="998"/>
      <c r="G34" s="998">
        <v>4430</v>
      </c>
      <c r="H34" s="998">
        <v>651</v>
      </c>
      <c r="I34" s="998">
        <v>0</v>
      </c>
      <c r="J34" s="998">
        <v>0</v>
      </c>
      <c r="K34" s="998">
        <v>0</v>
      </c>
      <c r="L34" s="998"/>
      <c r="M34" s="998">
        <v>0</v>
      </c>
      <c r="N34" s="998">
        <v>313</v>
      </c>
      <c r="O34" s="998">
        <v>0</v>
      </c>
      <c r="P34" s="998">
        <v>93348</v>
      </c>
      <c r="Q34" s="998">
        <v>28059</v>
      </c>
      <c r="R34" s="999">
        <v>121407</v>
      </c>
      <c r="S34" s="1213"/>
      <c r="T34" s="1000" t="s">
        <v>317</v>
      </c>
      <c r="U34" s="997" t="s">
        <v>853</v>
      </c>
      <c r="V34" s="998">
        <v>66091</v>
      </c>
      <c r="W34" s="998">
        <v>17083</v>
      </c>
      <c r="X34" s="998">
        <v>33949</v>
      </c>
      <c r="Y34" s="998">
        <v>5404</v>
      </c>
      <c r="Z34" s="998">
        <v>0</v>
      </c>
      <c r="AA34" s="998">
        <v>0</v>
      </c>
      <c r="AB34" s="998">
        <v>2744</v>
      </c>
      <c r="AC34" s="998">
        <v>1540</v>
      </c>
      <c r="AD34" s="1001">
        <v>121407</v>
      </c>
      <c r="AF34" s="1012"/>
    </row>
    <row r="35" spans="1:32" ht="15.75">
      <c r="A35" s="1216"/>
      <c r="B35" s="1000" t="s">
        <v>317</v>
      </c>
      <c r="C35" s="997" t="s">
        <v>854</v>
      </c>
      <c r="D35" s="998">
        <v>11553</v>
      </c>
      <c r="E35" s="998">
        <v>11112</v>
      </c>
      <c r="F35" s="998"/>
      <c r="G35" s="998">
        <v>4430</v>
      </c>
      <c r="H35" s="998">
        <v>651</v>
      </c>
      <c r="I35" s="998">
        <v>0</v>
      </c>
      <c r="J35" s="998">
        <v>0</v>
      </c>
      <c r="K35" s="998">
        <v>0</v>
      </c>
      <c r="L35" s="998"/>
      <c r="M35" s="998">
        <v>0</v>
      </c>
      <c r="N35" s="998">
        <v>313</v>
      </c>
      <c r="O35" s="998">
        <v>0</v>
      </c>
      <c r="P35" s="998">
        <v>95995</v>
      </c>
      <c r="Q35" s="998">
        <v>28059</v>
      </c>
      <c r="R35" s="999">
        <v>124054</v>
      </c>
      <c r="S35" s="1213"/>
      <c r="T35" s="1000" t="s">
        <v>317</v>
      </c>
      <c r="U35" s="997" t="s">
        <v>854</v>
      </c>
      <c r="V35" s="998">
        <v>66815</v>
      </c>
      <c r="W35" s="998">
        <v>18306</v>
      </c>
      <c r="X35" s="998">
        <v>35799</v>
      </c>
      <c r="Y35" s="998">
        <v>5404</v>
      </c>
      <c r="Z35" s="998">
        <v>0</v>
      </c>
      <c r="AA35" s="998">
        <v>0</v>
      </c>
      <c r="AB35" s="998">
        <v>2494</v>
      </c>
      <c r="AC35" s="998">
        <v>640</v>
      </c>
      <c r="AD35" s="1001">
        <v>124054</v>
      </c>
      <c r="AF35" s="1012"/>
    </row>
    <row r="36" spans="1:32" ht="15.75">
      <c r="A36" s="1216" t="s">
        <v>862</v>
      </c>
      <c r="B36" s="1000" t="s">
        <v>317</v>
      </c>
      <c r="C36" s="997" t="s">
        <v>4</v>
      </c>
      <c r="D36" s="998">
        <v>3400</v>
      </c>
      <c r="E36" s="998">
        <v>15542</v>
      </c>
      <c r="F36" s="998"/>
      <c r="G36" s="998">
        <v>5114</v>
      </c>
      <c r="H36" s="998">
        <v>0</v>
      </c>
      <c r="I36" s="998">
        <v>0</v>
      </c>
      <c r="J36" s="998">
        <v>0</v>
      </c>
      <c r="K36" s="998">
        <v>0</v>
      </c>
      <c r="L36" s="998"/>
      <c r="M36" s="998">
        <v>0</v>
      </c>
      <c r="N36" s="998">
        <v>0</v>
      </c>
      <c r="O36" s="998">
        <v>0</v>
      </c>
      <c r="P36" s="998">
        <v>70588</v>
      </c>
      <c r="Q36" s="998">
        <v>24056</v>
      </c>
      <c r="R36" s="999">
        <v>94644</v>
      </c>
      <c r="S36" s="1213" t="s">
        <v>862</v>
      </c>
      <c r="T36" s="1000" t="s">
        <v>317</v>
      </c>
      <c r="U36" s="997" t="s">
        <v>4</v>
      </c>
      <c r="V36" s="998">
        <v>0</v>
      </c>
      <c r="W36" s="998">
        <v>0</v>
      </c>
      <c r="X36" s="998">
        <v>91944</v>
      </c>
      <c r="Y36" s="998">
        <v>50705</v>
      </c>
      <c r="Z36" s="998">
        <v>0</v>
      </c>
      <c r="AA36" s="998">
        <v>0</v>
      </c>
      <c r="AB36" s="998">
        <v>0</v>
      </c>
      <c r="AC36" s="998">
        <v>2700</v>
      </c>
      <c r="AD36" s="1001">
        <v>94644</v>
      </c>
      <c r="AF36" s="1012">
        <v>94644</v>
      </c>
    </row>
    <row r="37" spans="1:32" ht="15.75">
      <c r="A37" s="1216"/>
      <c r="B37" s="1000" t="s">
        <v>317</v>
      </c>
      <c r="C37" s="997" t="s">
        <v>852</v>
      </c>
      <c r="D37" s="998">
        <v>3400</v>
      </c>
      <c r="E37" s="998">
        <v>15542</v>
      </c>
      <c r="F37" s="998"/>
      <c r="G37" s="998">
        <v>5114</v>
      </c>
      <c r="H37" s="998">
        <v>0</v>
      </c>
      <c r="I37" s="998">
        <v>0</v>
      </c>
      <c r="J37" s="998">
        <v>0</v>
      </c>
      <c r="K37" s="998">
        <v>0</v>
      </c>
      <c r="L37" s="998"/>
      <c r="M37" s="998">
        <v>0</v>
      </c>
      <c r="N37" s="998">
        <v>0</v>
      </c>
      <c r="O37" s="998">
        <v>0</v>
      </c>
      <c r="P37" s="998">
        <v>70588</v>
      </c>
      <c r="Q37" s="998">
        <v>24056</v>
      </c>
      <c r="R37" s="999">
        <v>94644</v>
      </c>
      <c r="S37" s="1213"/>
      <c r="T37" s="1000" t="s">
        <v>317</v>
      </c>
      <c r="U37" s="997" t="s">
        <v>852</v>
      </c>
      <c r="V37" s="998">
        <v>0</v>
      </c>
      <c r="W37" s="998">
        <v>0</v>
      </c>
      <c r="X37" s="998">
        <v>91490</v>
      </c>
      <c r="Y37" s="998">
        <v>50705</v>
      </c>
      <c r="Z37" s="998">
        <v>0</v>
      </c>
      <c r="AA37" s="998">
        <v>0</v>
      </c>
      <c r="AB37" s="998">
        <v>454</v>
      </c>
      <c r="AC37" s="998">
        <v>2700</v>
      </c>
      <c r="AD37" s="1001">
        <v>94644</v>
      </c>
      <c r="AF37" s="1012"/>
    </row>
    <row r="38" spans="1:32" ht="15.75">
      <c r="A38" s="1216"/>
      <c r="B38" s="1000" t="s">
        <v>317</v>
      </c>
      <c r="C38" s="997" t="s">
        <v>853</v>
      </c>
      <c r="D38" s="998">
        <v>3400</v>
      </c>
      <c r="E38" s="998">
        <v>15542</v>
      </c>
      <c r="F38" s="998"/>
      <c r="G38" s="998">
        <v>5114</v>
      </c>
      <c r="H38" s="998">
        <v>0</v>
      </c>
      <c r="I38" s="998">
        <v>0</v>
      </c>
      <c r="J38" s="998">
        <v>0</v>
      </c>
      <c r="K38" s="998">
        <v>0</v>
      </c>
      <c r="L38" s="998"/>
      <c r="M38" s="998">
        <v>0</v>
      </c>
      <c r="N38" s="998">
        <v>0</v>
      </c>
      <c r="O38" s="998">
        <v>0</v>
      </c>
      <c r="P38" s="998">
        <v>69828</v>
      </c>
      <c r="Q38" s="998">
        <v>24056</v>
      </c>
      <c r="R38" s="999">
        <v>93884</v>
      </c>
      <c r="S38" s="1213"/>
      <c r="T38" s="1000" t="s">
        <v>317</v>
      </c>
      <c r="U38" s="997" t="s">
        <v>853</v>
      </c>
      <c r="V38" s="998">
        <v>0</v>
      </c>
      <c r="W38" s="998">
        <v>0</v>
      </c>
      <c r="X38" s="998">
        <v>90090</v>
      </c>
      <c r="Y38" s="998">
        <v>50705</v>
      </c>
      <c r="Z38" s="998">
        <v>0</v>
      </c>
      <c r="AA38" s="998">
        <v>0</v>
      </c>
      <c r="AB38" s="998">
        <v>1094</v>
      </c>
      <c r="AC38" s="998">
        <v>2700</v>
      </c>
      <c r="AD38" s="1001">
        <v>93884</v>
      </c>
      <c r="AF38" s="1012"/>
    </row>
    <row r="39" spans="1:32" ht="15.75">
      <c r="A39" s="1216"/>
      <c r="B39" s="1000" t="s">
        <v>317</v>
      </c>
      <c r="C39" s="997" t="s">
        <v>854</v>
      </c>
      <c r="D39" s="998">
        <v>3400</v>
      </c>
      <c r="E39" s="998">
        <v>15542</v>
      </c>
      <c r="F39" s="998"/>
      <c r="G39" s="998">
        <v>5114</v>
      </c>
      <c r="H39" s="998">
        <v>0</v>
      </c>
      <c r="I39" s="998">
        <v>0</v>
      </c>
      <c r="J39" s="998">
        <v>0</v>
      </c>
      <c r="K39" s="998">
        <v>0</v>
      </c>
      <c r="L39" s="998"/>
      <c r="M39" s="998">
        <v>0</v>
      </c>
      <c r="N39" s="998">
        <v>0</v>
      </c>
      <c r="O39" s="998">
        <v>0</v>
      </c>
      <c r="P39" s="998">
        <v>70565</v>
      </c>
      <c r="Q39" s="998">
        <v>24056</v>
      </c>
      <c r="R39" s="999">
        <v>94621</v>
      </c>
      <c r="S39" s="1213"/>
      <c r="T39" s="1000" t="s">
        <v>317</v>
      </c>
      <c r="U39" s="997" t="s">
        <v>854</v>
      </c>
      <c r="V39" s="998">
        <v>0</v>
      </c>
      <c r="W39" s="998">
        <v>0</v>
      </c>
      <c r="X39" s="998">
        <v>90767</v>
      </c>
      <c r="Y39" s="998">
        <v>50705</v>
      </c>
      <c r="Z39" s="998">
        <v>0</v>
      </c>
      <c r="AA39" s="998">
        <v>0</v>
      </c>
      <c r="AB39" s="998">
        <v>1629</v>
      </c>
      <c r="AC39" s="998">
        <v>2225</v>
      </c>
      <c r="AD39" s="1001">
        <v>94621</v>
      </c>
      <c r="AF39" s="1012"/>
    </row>
    <row r="40" spans="1:32" ht="15.75">
      <c r="A40" s="1216" t="s">
        <v>863</v>
      </c>
      <c r="B40" s="1000" t="s">
        <v>317</v>
      </c>
      <c r="C40" s="997" t="s">
        <v>4</v>
      </c>
      <c r="D40" s="998">
        <v>0</v>
      </c>
      <c r="E40" s="998">
        <v>0</v>
      </c>
      <c r="F40" s="998"/>
      <c r="G40" s="998">
        <v>0</v>
      </c>
      <c r="H40" s="998">
        <v>0</v>
      </c>
      <c r="I40" s="998">
        <v>0</v>
      </c>
      <c r="J40" s="998">
        <v>0</v>
      </c>
      <c r="K40" s="998">
        <v>0</v>
      </c>
      <c r="L40" s="998"/>
      <c r="M40" s="998">
        <v>0</v>
      </c>
      <c r="N40" s="998">
        <v>0</v>
      </c>
      <c r="O40" s="998">
        <v>0</v>
      </c>
      <c r="P40" s="998">
        <v>1819</v>
      </c>
      <c r="Q40" s="998">
        <v>0</v>
      </c>
      <c r="R40" s="999">
        <v>1819</v>
      </c>
      <c r="S40" s="1213" t="s">
        <v>863</v>
      </c>
      <c r="T40" s="1000" t="s">
        <v>317</v>
      </c>
      <c r="U40" s="997" t="s">
        <v>4</v>
      </c>
      <c r="V40" s="998">
        <v>0</v>
      </c>
      <c r="W40" s="998">
        <v>0</v>
      </c>
      <c r="X40" s="998">
        <v>1819</v>
      </c>
      <c r="Y40" s="998">
        <v>0</v>
      </c>
      <c r="Z40" s="998">
        <v>0</v>
      </c>
      <c r="AA40" s="998">
        <v>0</v>
      </c>
      <c r="AB40" s="998">
        <v>0</v>
      </c>
      <c r="AC40" s="998">
        <v>0</v>
      </c>
      <c r="AD40" s="1001">
        <v>1819</v>
      </c>
      <c r="AF40" s="1012">
        <v>1819</v>
      </c>
    </row>
    <row r="41" spans="1:32" ht="15.75">
      <c r="A41" s="1216"/>
      <c r="B41" s="1000" t="s">
        <v>317</v>
      </c>
      <c r="C41" s="997" t="s">
        <v>852</v>
      </c>
      <c r="D41" s="998">
        <v>0</v>
      </c>
      <c r="E41" s="998">
        <v>0</v>
      </c>
      <c r="F41" s="998"/>
      <c r="G41" s="998">
        <v>0</v>
      </c>
      <c r="H41" s="998">
        <v>0</v>
      </c>
      <c r="I41" s="998">
        <v>0</v>
      </c>
      <c r="J41" s="998">
        <v>0</v>
      </c>
      <c r="K41" s="998">
        <v>0</v>
      </c>
      <c r="L41" s="998"/>
      <c r="M41" s="998">
        <v>0</v>
      </c>
      <c r="N41" s="998">
        <v>0</v>
      </c>
      <c r="O41" s="998">
        <v>0</v>
      </c>
      <c r="P41" s="998">
        <v>1819</v>
      </c>
      <c r="Q41" s="998">
        <v>0</v>
      </c>
      <c r="R41" s="999">
        <v>1819</v>
      </c>
      <c r="S41" s="1213"/>
      <c r="T41" s="1000" t="s">
        <v>317</v>
      </c>
      <c r="U41" s="997" t="s">
        <v>852</v>
      </c>
      <c r="V41" s="998">
        <v>0</v>
      </c>
      <c r="W41" s="998">
        <v>0</v>
      </c>
      <c r="X41" s="998">
        <v>1819</v>
      </c>
      <c r="Y41" s="998">
        <v>0</v>
      </c>
      <c r="Z41" s="998">
        <v>0</v>
      </c>
      <c r="AA41" s="998">
        <v>0</v>
      </c>
      <c r="AB41" s="998">
        <v>0</v>
      </c>
      <c r="AC41" s="998">
        <v>0</v>
      </c>
      <c r="AD41" s="1001">
        <v>1819</v>
      </c>
      <c r="AF41" s="1012"/>
    </row>
    <row r="42" spans="1:32" ht="15.75">
      <c r="A42" s="1216"/>
      <c r="B42" s="1000" t="s">
        <v>317</v>
      </c>
      <c r="C42" s="997" t="s">
        <v>853</v>
      </c>
      <c r="D42" s="998">
        <v>0</v>
      </c>
      <c r="E42" s="998">
        <v>0</v>
      </c>
      <c r="F42" s="998"/>
      <c r="G42" s="998">
        <v>0</v>
      </c>
      <c r="H42" s="998">
        <v>0</v>
      </c>
      <c r="I42" s="998">
        <v>0</v>
      </c>
      <c r="J42" s="998">
        <v>0</v>
      </c>
      <c r="K42" s="998">
        <v>0</v>
      </c>
      <c r="L42" s="998"/>
      <c r="M42" s="998">
        <v>0</v>
      </c>
      <c r="N42" s="998">
        <v>0</v>
      </c>
      <c r="O42" s="998">
        <v>0</v>
      </c>
      <c r="P42" s="998">
        <v>1819</v>
      </c>
      <c r="Q42" s="998">
        <v>0</v>
      </c>
      <c r="R42" s="999">
        <v>1819</v>
      </c>
      <c r="S42" s="1213"/>
      <c r="T42" s="1000" t="s">
        <v>317</v>
      </c>
      <c r="U42" s="997" t="s">
        <v>853</v>
      </c>
      <c r="V42" s="998">
        <v>0</v>
      </c>
      <c r="W42" s="998">
        <v>0</v>
      </c>
      <c r="X42" s="998">
        <v>1819</v>
      </c>
      <c r="Y42" s="998">
        <v>0</v>
      </c>
      <c r="Z42" s="998">
        <v>0</v>
      </c>
      <c r="AA42" s="998">
        <v>0</v>
      </c>
      <c r="AB42" s="998">
        <v>0</v>
      </c>
      <c r="AC42" s="998">
        <v>0</v>
      </c>
      <c r="AD42" s="1001">
        <v>1819</v>
      </c>
      <c r="AF42" s="1012"/>
    </row>
    <row r="43" spans="1:32" ht="15.75">
      <c r="A43" s="1216"/>
      <c r="B43" s="1000" t="s">
        <v>317</v>
      </c>
      <c r="C43" s="997" t="s">
        <v>854</v>
      </c>
      <c r="D43" s="998">
        <v>0</v>
      </c>
      <c r="E43" s="998">
        <v>0</v>
      </c>
      <c r="F43" s="998"/>
      <c r="G43" s="998">
        <v>0</v>
      </c>
      <c r="H43" s="998">
        <v>0</v>
      </c>
      <c r="I43" s="998">
        <v>0</v>
      </c>
      <c r="J43" s="998">
        <v>0</v>
      </c>
      <c r="K43" s="998">
        <v>0</v>
      </c>
      <c r="L43" s="998"/>
      <c r="M43" s="998">
        <v>0</v>
      </c>
      <c r="N43" s="998">
        <v>0</v>
      </c>
      <c r="O43" s="998">
        <v>0</v>
      </c>
      <c r="P43" s="998">
        <v>1069</v>
      </c>
      <c r="Q43" s="998">
        <v>0</v>
      </c>
      <c r="R43" s="999">
        <v>1069</v>
      </c>
      <c r="S43" s="1213"/>
      <c r="T43" s="1000" t="s">
        <v>317</v>
      </c>
      <c r="U43" s="997" t="s">
        <v>854</v>
      </c>
      <c r="V43" s="998">
        <v>0</v>
      </c>
      <c r="W43" s="998">
        <v>0</v>
      </c>
      <c r="X43" s="998">
        <v>1069</v>
      </c>
      <c r="Y43" s="998">
        <v>0</v>
      </c>
      <c r="Z43" s="998">
        <v>0</v>
      </c>
      <c r="AA43" s="998">
        <v>0</v>
      </c>
      <c r="AB43" s="998">
        <v>0</v>
      </c>
      <c r="AC43" s="998">
        <v>0</v>
      </c>
      <c r="AD43" s="1001">
        <v>1069</v>
      </c>
      <c r="AF43" s="1012"/>
    </row>
    <row r="44" spans="1:32" ht="15.75">
      <c r="A44" s="1216" t="s">
        <v>864</v>
      </c>
      <c r="B44" s="1000" t="s">
        <v>317</v>
      </c>
      <c r="C44" s="997" t="s">
        <v>4</v>
      </c>
      <c r="D44" s="998">
        <v>120</v>
      </c>
      <c r="E44" s="998">
        <v>9552</v>
      </c>
      <c r="F44" s="998"/>
      <c r="G44" s="998">
        <v>2558</v>
      </c>
      <c r="H44" s="998">
        <v>0</v>
      </c>
      <c r="I44" s="998">
        <v>0</v>
      </c>
      <c r="J44" s="998">
        <v>0</v>
      </c>
      <c r="K44" s="998">
        <v>0</v>
      </c>
      <c r="L44" s="998"/>
      <c r="M44" s="998">
        <v>0</v>
      </c>
      <c r="N44" s="998">
        <v>0</v>
      </c>
      <c r="O44" s="998">
        <v>0</v>
      </c>
      <c r="P44" s="998">
        <v>27129</v>
      </c>
      <c r="Q44" s="998">
        <v>12230</v>
      </c>
      <c r="R44" s="999">
        <v>39359</v>
      </c>
      <c r="S44" s="1213" t="s">
        <v>864</v>
      </c>
      <c r="T44" s="1000" t="s">
        <v>317</v>
      </c>
      <c r="U44" s="997" t="s">
        <v>4</v>
      </c>
      <c r="V44" s="998">
        <v>0</v>
      </c>
      <c r="W44" s="998">
        <v>0</v>
      </c>
      <c r="X44" s="998">
        <v>36289</v>
      </c>
      <c r="Y44" s="998">
        <v>24890</v>
      </c>
      <c r="Z44" s="998">
        <v>0</v>
      </c>
      <c r="AA44" s="998">
        <v>0</v>
      </c>
      <c r="AB44" s="998">
        <v>0</v>
      </c>
      <c r="AC44" s="998">
        <v>3070</v>
      </c>
      <c r="AD44" s="1001">
        <v>39359</v>
      </c>
      <c r="AF44" s="1012">
        <v>39359</v>
      </c>
    </row>
    <row r="45" spans="1:32" ht="15.75">
      <c r="A45" s="1216"/>
      <c r="B45" s="1000" t="s">
        <v>317</v>
      </c>
      <c r="C45" s="997" t="s">
        <v>852</v>
      </c>
      <c r="D45" s="998">
        <v>120</v>
      </c>
      <c r="E45" s="998">
        <v>9552</v>
      </c>
      <c r="F45" s="998"/>
      <c r="G45" s="998">
        <v>2558</v>
      </c>
      <c r="H45" s="998">
        <v>0</v>
      </c>
      <c r="I45" s="998">
        <v>0</v>
      </c>
      <c r="J45" s="998">
        <v>0</v>
      </c>
      <c r="K45" s="998">
        <v>0</v>
      </c>
      <c r="L45" s="998"/>
      <c r="M45" s="998">
        <v>0</v>
      </c>
      <c r="N45" s="998">
        <v>0</v>
      </c>
      <c r="O45" s="998">
        <v>0</v>
      </c>
      <c r="P45" s="998">
        <v>27129</v>
      </c>
      <c r="Q45" s="998">
        <v>12230</v>
      </c>
      <c r="R45" s="999">
        <v>39359</v>
      </c>
      <c r="S45" s="1213"/>
      <c r="T45" s="1000" t="s">
        <v>317</v>
      </c>
      <c r="U45" s="997" t="s">
        <v>852</v>
      </c>
      <c r="V45" s="998">
        <v>0</v>
      </c>
      <c r="W45" s="998">
        <v>0</v>
      </c>
      <c r="X45" s="998">
        <v>36289</v>
      </c>
      <c r="Y45" s="998">
        <v>24890</v>
      </c>
      <c r="Z45" s="998">
        <v>0</v>
      </c>
      <c r="AA45" s="998">
        <v>0</v>
      </c>
      <c r="AB45" s="998">
        <v>0</v>
      </c>
      <c r="AC45" s="998">
        <v>3070</v>
      </c>
      <c r="AD45" s="1001">
        <v>39359</v>
      </c>
      <c r="AF45" s="1012"/>
    </row>
    <row r="46" spans="1:32" ht="15.75">
      <c r="A46" s="1216"/>
      <c r="B46" s="1000" t="s">
        <v>317</v>
      </c>
      <c r="C46" s="997" t="s">
        <v>853</v>
      </c>
      <c r="D46" s="998">
        <v>120</v>
      </c>
      <c r="E46" s="998">
        <v>9552</v>
      </c>
      <c r="F46" s="998"/>
      <c r="G46" s="998">
        <v>2558</v>
      </c>
      <c r="H46" s="998">
        <v>0</v>
      </c>
      <c r="I46" s="998">
        <v>0</v>
      </c>
      <c r="J46" s="998">
        <v>0</v>
      </c>
      <c r="K46" s="998">
        <v>0</v>
      </c>
      <c r="L46" s="998"/>
      <c r="M46" s="998">
        <v>0</v>
      </c>
      <c r="N46" s="998">
        <v>0</v>
      </c>
      <c r="O46" s="998">
        <v>0</v>
      </c>
      <c r="P46" s="998">
        <v>27129</v>
      </c>
      <c r="Q46" s="998">
        <v>12230</v>
      </c>
      <c r="R46" s="999">
        <v>39359</v>
      </c>
      <c r="S46" s="1213"/>
      <c r="T46" s="1000" t="s">
        <v>317</v>
      </c>
      <c r="U46" s="997" t="s">
        <v>853</v>
      </c>
      <c r="V46" s="998">
        <v>0</v>
      </c>
      <c r="W46" s="998">
        <v>0</v>
      </c>
      <c r="X46" s="998">
        <v>35984</v>
      </c>
      <c r="Y46" s="998">
        <v>24890</v>
      </c>
      <c r="Z46" s="998">
        <v>0</v>
      </c>
      <c r="AA46" s="998">
        <v>0</v>
      </c>
      <c r="AB46" s="998">
        <v>305</v>
      </c>
      <c r="AC46" s="998">
        <v>3070</v>
      </c>
      <c r="AD46" s="1001">
        <v>39359</v>
      </c>
      <c r="AF46" s="1012"/>
    </row>
    <row r="47" spans="1:32" ht="15.75">
      <c r="A47" s="1216"/>
      <c r="B47" s="1000" t="s">
        <v>317</v>
      </c>
      <c r="C47" s="997" t="s">
        <v>854</v>
      </c>
      <c r="D47" s="998">
        <v>120</v>
      </c>
      <c r="E47" s="998">
        <v>9552</v>
      </c>
      <c r="F47" s="998"/>
      <c r="G47" s="998">
        <v>2558</v>
      </c>
      <c r="H47" s="998">
        <v>0</v>
      </c>
      <c r="I47" s="998">
        <v>0</v>
      </c>
      <c r="J47" s="998">
        <v>0</v>
      </c>
      <c r="K47" s="998">
        <v>0</v>
      </c>
      <c r="L47" s="998"/>
      <c r="M47" s="998">
        <v>0</v>
      </c>
      <c r="N47" s="998">
        <v>0</v>
      </c>
      <c r="O47" s="998">
        <v>0</v>
      </c>
      <c r="P47" s="998">
        <v>28077</v>
      </c>
      <c r="Q47" s="998">
        <v>12230</v>
      </c>
      <c r="R47" s="999">
        <v>40307</v>
      </c>
      <c r="S47" s="1213"/>
      <c r="T47" s="1000" t="s">
        <v>317</v>
      </c>
      <c r="U47" s="997" t="s">
        <v>854</v>
      </c>
      <c r="V47" s="998">
        <v>0</v>
      </c>
      <c r="W47" s="998">
        <v>0</v>
      </c>
      <c r="X47" s="998">
        <v>36932</v>
      </c>
      <c r="Y47" s="998">
        <v>24890</v>
      </c>
      <c r="Z47" s="998">
        <v>0</v>
      </c>
      <c r="AA47" s="998">
        <v>0</v>
      </c>
      <c r="AB47" s="998">
        <v>605</v>
      </c>
      <c r="AC47" s="998">
        <v>2770</v>
      </c>
      <c r="AD47" s="1001">
        <v>40307</v>
      </c>
      <c r="AF47" s="1012"/>
    </row>
    <row r="48" spans="1:32" ht="15.75">
      <c r="A48" s="1217" t="s">
        <v>865</v>
      </c>
      <c r="B48" s="1000" t="s">
        <v>317</v>
      </c>
      <c r="C48" s="1004" t="s">
        <v>4</v>
      </c>
      <c r="D48" s="999">
        <v>3520</v>
      </c>
      <c r="E48" s="999">
        <v>25094</v>
      </c>
      <c r="F48" s="999"/>
      <c r="G48" s="999">
        <v>7672</v>
      </c>
      <c r="H48" s="999">
        <v>0</v>
      </c>
      <c r="I48" s="999">
        <v>0</v>
      </c>
      <c r="J48" s="999">
        <v>0</v>
      </c>
      <c r="K48" s="999">
        <v>0</v>
      </c>
      <c r="L48" s="999"/>
      <c r="M48" s="999">
        <v>0</v>
      </c>
      <c r="N48" s="999">
        <v>0</v>
      </c>
      <c r="O48" s="999">
        <v>0</v>
      </c>
      <c r="P48" s="999">
        <v>99536</v>
      </c>
      <c r="Q48" s="999">
        <v>36286</v>
      </c>
      <c r="R48" s="999">
        <v>135822</v>
      </c>
      <c r="S48" s="1213" t="s">
        <v>865</v>
      </c>
      <c r="T48" s="1000" t="s">
        <v>317</v>
      </c>
      <c r="U48" s="997" t="s">
        <v>4</v>
      </c>
      <c r="V48" s="999">
        <v>0</v>
      </c>
      <c r="W48" s="999">
        <v>0</v>
      </c>
      <c r="X48" s="999">
        <v>130052</v>
      </c>
      <c r="Y48" s="999">
        <v>75595</v>
      </c>
      <c r="Z48" s="999">
        <v>0</v>
      </c>
      <c r="AA48" s="999">
        <v>0</v>
      </c>
      <c r="AB48" s="999">
        <v>0</v>
      </c>
      <c r="AC48" s="999">
        <v>5770</v>
      </c>
      <c r="AD48" s="1005">
        <v>135822</v>
      </c>
      <c r="AE48" s="1009">
        <v>0</v>
      </c>
      <c r="AF48" s="1012"/>
    </row>
    <row r="49" spans="1:32" ht="15.75">
      <c r="A49" s="1217"/>
      <c r="B49" s="1000" t="s">
        <v>317</v>
      </c>
      <c r="C49" s="997" t="s">
        <v>852</v>
      </c>
      <c r="D49" s="999">
        <v>3520</v>
      </c>
      <c r="E49" s="999">
        <v>25094</v>
      </c>
      <c r="F49" s="999"/>
      <c r="G49" s="999">
        <v>7672</v>
      </c>
      <c r="H49" s="999">
        <v>0</v>
      </c>
      <c r="I49" s="999">
        <v>0</v>
      </c>
      <c r="J49" s="999">
        <v>0</v>
      </c>
      <c r="K49" s="999">
        <v>0</v>
      </c>
      <c r="L49" s="999"/>
      <c r="M49" s="999">
        <v>0</v>
      </c>
      <c r="N49" s="999">
        <v>0</v>
      </c>
      <c r="O49" s="999">
        <v>0</v>
      </c>
      <c r="P49" s="999">
        <v>99536</v>
      </c>
      <c r="Q49" s="999">
        <v>36286</v>
      </c>
      <c r="R49" s="999">
        <v>135822</v>
      </c>
      <c r="S49" s="1213"/>
      <c r="T49" s="1000" t="s">
        <v>317</v>
      </c>
      <c r="U49" s="997" t="s">
        <v>852</v>
      </c>
      <c r="V49" s="999">
        <v>0</v>
      </c>
      <c r="W49" s="999">
        <v>0</v>
      </c>
      <c r="X49" s="999">
        <v>129598</v>
      </c>
      <c r="Y49" s="999">
        <v>75595</v>
      </c>
      <c r="Z49" s="999">
        <v>0</v>
      </c>
      <c r="AA49" s="999">
        <v>0</v>
      </c>
      <c r="AB49" s="999">
        <v>454</v>
      </c>
      <c r="AC49" s="999">
        <v>5770</v>
      </c>
      <c r="AD49" s="1005">
        <v>135822</v>
      </c>
      <c r="AF49" s="1012"/>
    </row>
    <row r="50" spans="1:32" ht="15.75">
      <c r="A50" s="1217"/>
      <c r="B50" s="1000" t="s">
        <v>317</v>
      </c>
      <c r="C50" s="997" t="s">
        <v>853</v>
      </c>
      <c r="D50" s="999">
        <v>3520</v>
      </c>
      <c r="E50" s="999">
        <v>25094</v>
      </c>
      <c r="F50" s="999"/>
      <c r="G50" s="999">
        <v>7672</v>
      </c>
      <c r="H50" s="999">
        <v>0</v>
      </c>
      <c r="I50" s="999">
        <v>0</v>
      </c>
      <c r="J50" s="999">
        <v>0</v>
      </c>
      <c r="K50" s="999">
        <v>0</v>
      </c>
      <c r="L50" s="999"/>
      <c r="M50" s="999">
        <v>0</v>
      </c>
      <c r="N50" s="999">
        <v>0</v>
      </c>
      <c r="O50" s="999">
        <v>0</v>
      </c>
      <c r="P50" s="999">
        <v>98776</v>
      </c>
      <c r="Q50" s="999">
        <v>36286</v>
      </c>
      <c r="R50" s="999">
        <v>135062</v>
      </c>
      <c r="S50" s="1213"/>
      <c r="T50" s="1000" t="s">
        <v>317</v>
      </c>
      <c r="U50" s="997" t="s">
        <v>853</v>
      </c>
      <c r="V50" s="999">
        <v>0</v>
      </c>
      <c r="W50" s="999">
        <v>0</v>
      </c>
      <c r="X50" s="999">
        <v>127893</v>
      </c>
      <c r="Y50" s="999">
        <v>75595</v>
      </c>
      <c r="Z50" s="999">
        <v>0</v>
      </c>
      <c r="AA50" s="999">
        <v>0</v>
      </c>
      <c r="AB50" s="999">
        <v>1399</v>
      </c>
      <c r="AC50" s="999">
        <v>5770</v>
      </c>
      <c r="AD50" s="1005">
        <v>135062</v>
      </c>
      <c r="AF50" s="1012"/>
    </row>
    <row r="51" spans="1:32" ht="15.75">
      <c r="A51" s="1217"/>
      <c r="B51" s="1000" t="s">
        <v>317</v>
      </c>
      <c r="C51" s="997" t="s">
        <v>854</v>
      </c>
      <c r="D51" s="999">
        <v>3520</v>
      </c>
      <c r="E51" s="999">
        <v>25094</v>
      </c>
      <c r="F51" s="999"/>
      <c r="G51" s="999">
        <v>7672</v>
      </c>
      <c r="H51" s="999">
        <v>0</v>
      </c>
      <c r="I51" s="999">
        <v>0</v>
      </c>
      <c r="J51" s="999">
        <v>0</v>
      </c>
      <c r="K51" s="999">
        <v>0</v>
      </c>
      <c r="L51" s="999"/>
      <c r="M51" s="999">
        <v>0</v>
      </c>
      <c r="N51" s="999">
        <v>0</v>
      </c>
      <c r="O51" s="999">
        <v>0</v>
      </c>
      <c r="P51" s="999">
        <v>99711</v>
      </c>
      <c r="Q51" s="999">
        <v>36286</v>
      </c>
      <c r="R51" s="999">
        <v>135997</v>
      </c>
      <c r="S51" s="1213"/>
      <c r="T51" s="1000" t="s">
        <v>317</v>
      </c>
      <c r="U51" s="997" t="s">
        <v>854</v>
      </c>
      <c r="V51" s="999">
        <v>0</v>
      </c>
      <c r="W51" s="999">
        <v>0</v>
      </c>
      <c r="X51" s="999">
        <v>128768</v>
      </c>
      <c r="Y51" s="999">
        <v>75595</v>
      </c>
      <c r="Z51" s="999">
        <v>0</v>
      </c>
      <c r="AA51" s="999">
        <v>0</v>
      </c>
      <c r="AB51" s="999">
        <v>2234</v>
      </c>
      <c r="AC51" s="999">
        <v>4995</v>
      </c>
      <c r="AD51" s="1005">
        <v>135997</v>
      </c>
      <c r="AF51" s="1012"/>
    </row>
    <row r="52" spans="1:32" ht="15.75">
      <c r="A52" s="1216" t="s">
        <v>866</v>
      </c>
      <c r="B52" s="1000" t="s">
        <v>317</v>
      </c>
      <c r="C52" s="997" t="s">
        <v>4</v>
      </c>
      <c r="D52" s="998">
        <v>7645</v>
      </c>
      <c r="E52" s="998">
        <v>18039</v>
      </c>
      <c r="F52" s="998"/>
      <c r="G52" s="998">
        <v>5902</v>
      </c>
      <c r="H52" s="998">
        <v>0</v>
      </c>
      <c r="I52" s="998">
        <v>0</v>
      </c>
      <c r="J52" s="998">
        <v>0</v>
      </c>
      <c r="K52" s="998">
        <v>0</v>
      </c>
      <c r="L52" s="998"/>
      <c r="M52" s="998">
        <v>0</v>
      </c>
      <c r="N52" s="998">
        <v>0</v>
      </c>
      <c r="O52" s="998">
        <v>0</v>
      </c>
      <c r="P52" s="998">
        <v>98089</v>
      </c>
      <c r="Q52" s="998">
        <v>31586</v>
      </c>
      <c r="R52" s="999">
        <v>129675</v>
      </c>
      <c r="S52" s="1213" t="s">
        <v>866</v>
      </c>
      <c r="T52" s="1000" t="s">
        <v>317</v>
      </c>
      <c r="U52" s="997" t="s">
        <v>4</v>
      </c>
      <c r="V52" s="998">
        <v>0</v>
      </c>
      <c r="W52" s="998">
        <v>0</v>
      </c>
      <c r="X52" s="998">
        <v>128675</v>
      </c>
      <c r="Y52" s="998">
        <v>47076</v>
      </c>
      <c r="Z52" s="998">
        <v>0</v>
      </c>
      <c r="AA52" s="998">
        <v>0</v>
      </c>
      <c r="AB52" s="998">
        <v>0</v>
      </c>
      <c r="AC52" s="998">
        <v>1000</v>
      </c>
      <c r="AD52" s="1001">
        <v>129675</v>
      </c>
      <c r="AF52" s="1012">
        <v>129675</v>
      </c>
    </row>
    <row r="53" spans="1:32" ht="15.75">
      <c r="A53" s="1216"/>
      <c r="B53" s="1000" t="s">
        <v>317</v>
      </c>
      <c r="C53" s="997" t="s">
        <v>852</v>
      </c>
      <c r="D53" s="998">
        <v>7645</v>
      </c>
      <c r="E53" s="998">
        <v>18039</v>
      </c>
      <c r="F53" s="998"/>
      <c r="G53" s="998">
        <v>5902</v>
      </c>
      <c r="H53" s="998">
        <v>0</v>
      </c>
      <c r="I53" s="998">
        <v>0</v>
      </c>
      <c r="J53" s="998">
        <v>0</v>
      </c>
      <c r="K53" s="998">
        <v>0</v>
      </c>
      <c r="L53" s="998"/>
      <c r="M53" s="998">
        <v>0</v>
      </c>
      <c r="N53" s="998">
        <v>0</v>
      </c>
      <c r="O53" s="998">
        <v>0</v>
      </c>
      <c r="P53" s="998">
        <v>98089</v>
      </c>
      <c r="Q53" s="998">
        <v>31586</v>
      </c>
      <c r="R53" s="999">
        <v>129675</v>
      </c>
      <c r="S53" s="1213"/>
      <c r="T53" s="1000" t="s">
        <v>317</v>
      </c>
      <c r="U53" s="997" t="s">
        <v>852</v>
      </c>
      <c r="V53" s="998">
        <v>0</v>
      </c>
      <c r="W53" s="998">
        <v>0</v>
      </c>
      <c r="X53" s="998">
        <v>128675</v>
      </c>
      <c r="Y53" s="998">
        <v>47076</v>
      </c>
      <c r="Z53" s="998">
        <v>0</v>
      </c>
      <c r="AA53" s="998">
        <v>0</v>
      </c>
      <c r="AB53" s="998">
        <v>0</v>
      </c>
      <c r="AC53" s="998">
        <v>1000</v>
      </c>
      <c r="AD53" s="1001">
        <v>129675</v>
      </c>
      <c r="AF53" s="1012"/>
    </row>
    <row r="54" spans="1:32" ht="15.75">
      <c r="A54" s="1216"/>
      <c r="B54" s="1000" t="s">
        <v>317</v>
      </c>
      <c r="C54" s="997" t="s">
        <v>853</v>
      </c>
      <c r="D54" s="998">
        <v>7645</v>
      </c>
      <c r="E54" s="998">
        <v>18039</v>
      </c>
      <c r="F54" s="998"/>
      <c r="G54" s="998">
        <v>5902</v>
      </c>
      <c r="H54" s="998">
        <v>0</v>
      </c>
      <c r="I54" s="998">
        <v>0</v>
      </c>
      <c r="J54" s="998">
        <v>0</v>
      </c>
      <c r="K54" s="998">
        <v>0</v>
      </c>
      <c r="L54" s="998"/>
      <c r="M54" s="998">
        <v>0</v>
      </c>
      <c r="N54" s="998">
        <v>0</v>
      </c>
      <c r="O54" s="998">
        <v>0</v>
      </c>
      <c r="P54" s="998">
        <v>98089</v>
      </c>
      <c r="Q54" s="998">
        <v>31586</v>
      </c>
      <c r="R54" s="999">
        <v>129675</v>
      </c>
      <c r="S54" s="1213"/>
      <c r="T54" s="1000" t="s">
        <v>317</v>
      </c>
      <c r="U54" s="997" t="s">
        <v>853</v>
      </c>
      <c r="V54" s="998">
        <v>0</v>
      </c>
      <c r="W54" s="998">
        <v>0</v>
      </c>
      <c r="X54" s="998">
        <v>128495</v>
      </c>
      <c r="Y54" s="998">
        <v>47076</v>
      </c>
      <c r="Z54" s="998">
        <v>0</v>
      </c>
      <c r="AA54" s="998">
        <v>0</v>
      </c>
      <c r="AB54" s="998">
        <v>180</v>
      </c>
      <c r="AC54" s="998">
        <v>1000</v>
      </c>
      <c r="AD54" s="1001">
        <v>129675</v>
      </c>
      <c r="AF54" s="1012"/>
    </row>
    <row r="55" spans="1:32" ht="15.75">
      <c r="A55" s="1216"/>
      <c r="B55" s="1000" t="s">
        <v>317</v>
      </c>
      <c r="C55" s="997" t="s">
        <v>854</v>
      </c>
      <c r="D55" s="998">
        <v>7645</v>
      </c>
      <c r="E55" s="998">
        <v>18039</v>
      </c>
      <c r="F55" s="998"/>
      <c r="G55" s="998">
        <v>5902</v>
      </c>
      <c r="H55" s="998">
        <v>0</v>
      </c>
      <c r="I55" s="998">
        <v>0</v>
      </c>
      <c r="J55" s="998">
        <v>0</v>
      </c>
      <c r="K55" s="998">
        <v>0</v>
      </c>
      <c r="L55" s="998"/>
      <c r="M55" s="998">
        <v>0</v>
      </c>
      <c r="N55" s="998">
        <v>0</v>
      </c>
      <c r="O55" s="998">
        <v>0</v>
      </c>
      <c r="P55" s="998">
        <v>98749</v>
      </c>
      <c r="Q55" s="998">
        <v>31586</v>
      </c>
      <c r="R55" s="999">
        <v>130335</v>
      </c>
      <c r="S55" s="1213"/>
      <c r="T55" s="1000" t="s">
        <v>317</v>
      </c>
      <c r="U55" s="997" t="s">
        <v>854</v>
      </c>
      <c r="V55" s="998">
        <v>0</v>
      </c>
      <c r="W55" s="998">
        <v>0</v>
      </c>
      <c r="X55" s="998">
        <v>129155</v>
      </c>
      <c r="Y55" s="998">
        <v>47076</v>
      </c>
      <c r="Z55" s="998">
        <v>0</v>
      </c>
      <c r="AA55" s="998">
        <v>0</v>
      </c>
      <c r="AB55" s="998">
        <v>1180</v>
      </c>
      <c r="AC55" s="998">
        <v>0</v>
      </c>
      <c r="AD55" s="1001">
        <v>130335</v>
      </c>
      <c r="AF55" s="1012"/>
    </row>
    <row r="56" spans="1:32" ht="15.75">
      <c r="A56" s="1216" t="s">
        <v>867</v>
      </c>
      <c r="B56" s="1000" t="s">
        <v>317</v>
      </c>
      <c r="C56" s="997" t="s">
        <v>4</v>
      </c>
      <c r="D56" s="998">
        <v>400</v>
      </c>
      <c r="E56" s="998">
        <v>8093</v>
      </c>
      <c r="F56" s="998"/>
      <c r="G56" s="998">
        <v>2231</v>
      </c>
      <c r="H56" s="998">
        <v>0</v>
      </c>
      <c r="I56" s="998">
        <v>0</v>
      </c>
      <c r="J56" s="998">
        <v>0</v>
      </c>
      <c r="K56" s="998">
        <v>0</v>
      </c>
      <c r="L56" s="998"/>
      <c r="M56" s="998">
        <v>0</v>
      </c>
      <c r="N56" s="998">
        <v>0</v>
      </c>
      <c r="O56" s="998">
        <v>0</v>
      </c>
      <c r="P56" s="998">
        <v>31688</v>
      </c>
      <c r="Q56" s="998">
        <v>10724</v>
      </c>
      <c r="R56" s="999">
        <v>42412</v>
      </c>
      <c r="S56" s="1213" t="s">
        <v>867</v>
      </c>
      <c r="T56" s="1000" t="s">
        <v>317</v>
      </c>
      <c r="U56" s="997" t="s">
        <v>4</v>
      </c>
      <c r="V56" s="998">
        <v>0</v>
      </c>
      <c r="W56" s="998">
        <v>0</v>
      </c>
      <c r="X56" s="998">
        <v>41412</v>
      </c>
      <c r="Y56" s="998">
        <v>22304</v>
      </c>
      <c r="Z56" s="998">
        <v>0</v>
      </c>
      <c r="AA56" s="998">
        <v>0</v>
      </c>
      <c r="AB56" s="998">
        <v>0</v>
      </c>
      <c r="AC56" s="998">
        <v>1000</v>
      </c>
      <c r="AD56" s="1001">
        <v>42412</v>
      </c>
      <c r="AF56" s="1012">
        <v>42412</v>
      </c>
    </row>
    <row r="57" spans="1:32" ht="15.75">
      <c r="A57" s="1216"/>
      <c r="B57" s="1000" t="s">
        <v>317</v>
      </c>
      <c r="C57" s="997" t="s">
        <v>852</v>
      </c>
      <c r="D57" s="998">
        <v>400</v>
      </c>
      <c r="E57" s="998">
        <v>8093</v>
      </c>
      <c r="F57" s="998"/>
      <c r="G57" s="998">
        <v>2231</v>
      </c>
      <c r="H57" s="998">
        <v>0</v>
      </c>
      <c r="I57" s="998">
        <v>0</v>
      </c>
      <c r="J57" s="998">
        <v>0</v>
      </c>
      <c r="K57" s="998">
        <v>0</v>
      </c>
      <c r="L57" s="998"/>
      <c r="M57" s="998">
        <v>0</v>
      </c>
      <c r="N57" s="998">
        <v>0</v>
      </c>
      <c r="O57" s="998">
        <v>0</v>
      </c>
      <c r="P57" s="998">
        <v>31688</v>
      </c>
      <c r="Q57" s="998">
        <v>10724</v>
      </c>
      <c r="R57" s="999">
        <v>42412</v>
      </c>
      <c r="S57" s="1213"/>
      <c r="T57" s="1000" t="s">
        <v>317</v>
      </c>
      <c r="U57" s="997" t="s">
        <v>852</v>
      </c>
      <c r="V57" s="998">
        <v>0</v>
      </c>
      <c r="W57" s="998">
        <v>0</v>
      </c>
      <c r="X57" s="998">
        <v>41412</v>
      </c>
      <c r="Y57" s="998">
        <v>22304</v>
      </c>
      <c r="Z57" s="998">
        <v>0</v>
      </c>
      <c r="AA57" s="998">
        <v>0</v>
      </c>
      <c r="AB57" s="998">
        <v>0</v>
      </c>
      <c r="AC57" s="998">
        <v>1000</v>
      </c>
      <c r="AD57" s="1001">
        <v>42412</v>
      </c>
      <c r="AF57" s="1012"/>
    </row>
    <row r="58" spans="1:32" ht="15.75">
      <c r="A58" s="1216"/>
      <c r="B58" s="1000" t="s">
        <v>317</v>
      </c>
      <c r="C58" s="997" t="s">
        <v>853</v>
      </c>
      <c r="D58" s="998">
        <v>400</v>
      </c>
      <c r="E58" s="998">
        <v>8093</v>
      </c>
      <c r="F58" s="998"/>
      <c r="G58" s="998">
        <v>2231</v>
      </c>
      <c r="H58" s="998">
        <v>0</v>
      </c>
      <c r="I58" s="998">
        <v>0</v>
      </c>
      <c r="J58" s="998">
        <v>0</v>
      </c>
      <c r="K58" s="998">
        <v>0</v>
      </c>
      <c r="L58" s="998"/>
      <c r="M58" s="998">
        <v>0</v>
      </c>
      <c r="N58" s="998">
        <v>0</v>
      </c>
      <c r="O58" s="998">
        <v>0</v>
      </c>
      <c r="P58" s="998">
        <v>32448</v>
      </c>
      <c r="Q58" s="998">
        <v>10724</v>
      </c>
      <c r="R58" s="999">
        <v>43172</v>
      </c>
      <c r="S58" s="1213"/>
      <c r="T58" s="1000" t="s">
        <v>317</v>
      </c>
      <c r="U58" s="997" t="s">
        <v>853</v>
      </c>
      <c r="V58" s="998">
        <v>0</v>
      </c>
      <c r="W58" s="998">
        <v>0</v>
      </c>
      <c r="X58" s="998">
        <v>42063</v>
      </c>
      <c r="Y58" s="998">
        <v>22304</v>
      </c>
      <c r="Z58" s="998">
        <v>0</v>
      </c>
      <c r="AA58" s="998">
        <v>0</v>
      </c>
      <c r="AB58" s="998">
        <v>109</v>
      </c>
      <c r="AC58" s="998">
        <v>1000</v>
      </c>
      <c r="AD58" s="1001">
        <v>43172</v>
      </c>
      <c r="AF58" s="1012"/>
    </row>
    <row r="59" spans="1:32" ht="15.75">
      <c r="A59" s="1216"/>
      <c r="B59" s="1000" t="s">
        <v>317</v>
      </c>
      <c r="C59" s="997" t="s">
        <v>854</v>
      </c>
      <c r="D59" s="998">
        <v>400</v>
      </c>
      <c r="E59" s="998">
        <v>8093</v>
      </c>
      <c r="F59" s="998"/>
      <c r="G59" s="998">
        <v>2231</v>
      </c>
      <c r="H59" s="998">
        <v>0</v>
      </c>
      <c r="I59" s="998">
        <v>0</v>
      </c>
      <c r="J59" s="998">
        <v>0</v>
      </c>
      <c r="K59" s="998">
        <v>0</v>
      </c>
      <c r="L59" s="998"/>
      <c r="M59" s="998">
        <v>0</v>
      </c>
      <c r="N59" s="998">
        <v>0</v>
      </c>
      <c r="O59" s="998">
        <v>0</v>
      </c>
      <c r="P59" s="998">
        <v>32689</v>
      </c>
      <c r="Q59" s="998">
        <v>10724</v>
      </c>
      <c r="R59" s="999">
        <v>43413</v>
      </c>
      <c r="S59" s="1213"/>
      <c r="T59" s="1000" t="s">
        <v>317</v>
      </c>
      <c r="U59" s="997" t="s">
        <v>854</v>
      </c>
      <c r="V59" s="998">
        <v>0</v>
      </c>
      <c r="W59" s="998">
        <v>0</v>
      </c>
      <c r="X59" s="998">
        <v>42304</v>
      </c>
      <c r="Y59" s="998">
        <v>22304</v>
      </c>
      <c r="Z59" s="998">
        <v>0</v>
      </c>
      <c r="AA59" s="998">
        <v>0</v>
      </c>
      <c r="AB59" s="998">
        <v>859</v>
      </c>
      <c r="AC59" s="998">
        <v>250</v>
      </c>
      <c r="AD59" s="1001">
        <v>43413</v>
      </c>
      <c r="AF59" s="1012"/>
    </row>
    <row r="60" spans="1:32" s="1013" customFormat="1" ht="15.75">
      <c r="A60" s="1217" t="s">
        <v>868</v>
      </c>
      <c r="B60" s="1000" t="s">
        <v>317</v>
      </c>
      <c r="C60" s="1004" t="s">
        <v>4</v>
      </c>
      <c r="D60" s="999">
        <v>8045</v>
      </c>
      <c r="E60" s="999">
        <v>26132</v>
      </c>
      <c r="F60" s="999"/>
      <c r="G60" s="999">
        <v>8133</v>
      </c>
      <c r="H60" s="999">
        <v>0</v>
      </c>
      <c r="I60" s="999">
        <v>0</v>
      </c>
      <c r="J60" s="999">
        <v>0</v>
      </c>
      <c r="K60" s="999">
        <v>0</v>
      </c>
      <c r="L60" s="999"/>
      <c r="M60" s="999">
        <v>0</v>
      </c>
      <c r="N60" s="999">
        <v>0</v>
      </c>
      <c r="O60" s="999">
        <v>0</v>
      </c>
      <c r="P60" s="999">
        <v>129777</v>
      </c>
      <c r="Q60" s="999">
        <v>42310</v>
      </c>
      <c r="R60" s="999">
        <v>172087</v>
      </c>
      <c r="S60" s="1213" t="s">
        <v>868</v>
      </c>
      <c r="T60" s="1000" t="s">
        <v>317</v>
      </c>
      <c r="U60" s="997" t="s">
        <v>4</v>
      </c>
      <c r="V60" s="999">
        <v>0</v>
      </c>
      <c r="W60" s="999">
        <v>0</v>
      </c>
      <c r="X60" s="999">
        <v>170087</v>
      </c>
      <c r="Y60" s="999">
        <v>69380</v>
      </c>
      <c r="Z60" s="999">
        <v>0</v>
      </c>
      <c r="AA60" s="999">
        <v>0</v>
      </c>
      <c r="AB60" s="999">
        <v>0</v>
      </c>
      <c r="AC60" s="999">
        <v>2000</v>
      </c>
      <c r="AD60" s="1005">
        <v>172087</v>
      </c>
      <c r="AF60" s="1012">
        <v>172087</v>
      </c>
    </row>
    <row r="61" spans="1:32" s="1013" customFormat="1" ht="15.75">
      <c r="A61" s="1217"/>
      <c r="B61" s="1000" t="s">
        <v>317</v>
      </c>
      <c r="C61" s="997" t="s">
        <v>852</v>
      </c>
      <c r="D61" s="999">
        <v>8045</v>
      </c>
      <c r="E61" s="999">
        <v>26132</v>
      </c>
      <c r="F61" s="999"/>
      <c r="G61" s="999">
        <v>8133</v>
      </c>
      <c r="H61" s="999">
        <v>0</v>
      </c>
      <c r="I61" s="999">
        <v>0</v>
      </c>
      <c r="J61" s="999">
        <v>0</v>
      </c>
      <c r="K61" s="999">
        <v>0</v>
      </c>
      <c r="L61" s="999"/>
      <c r="M61" s="999">
        <v>0</v>
      </c>
      <c r="N61" s="999">
        <v>0</v>
      </c>
      <c r="O61" s="999">
        <v>0</v>
      </c>
      <c r="P61" s="999">
        <v>129777</v>
      </c>
      <c r="Q61" s="999">
        <v>42310</v>
      </c>
      <c r="R61" s="999">
        <v>172087</v>
      </c>
      <c r="S61" s="1213"/>
      <c r="T61" s="1000" t="s">
        <v>317</v>
      </c>
      <c r="U61" s="997" t="s">
        <v>852</v>
      </c>
      <c r="V61" s="999">
        <v>0</v>
      </c>
      <c r="W61" s="999">
        <v>0</v>
      </c>
      <c r="X61" s="999">
        <v>170087</v>
      </c>
      <c r="Y61" s="999">
        <v>69380</v>
      </c>
      <c r="Z61" s="999">
        <v>0</v>
      </c>
      <c r="AA61" s="999">
        <v>0</v>
      </c>
      <c r="AB61" s="999">
        <v>0</v>
      </c>
      <c r="AC61" s="999">
        <v>2000</v>
      </c>
      <c r="AD61" s="1005">
        <v>172087</v>
      </c>
      <c r="AF61" s="1012"/>
    </row>
    <row r="62" spans="1:32" s="1013" customFormat="1" ht="15.75">
      <c r="A62" s="1217"/>
      <c r="B62" s="1000" t="s">
        <v>317</v>
      </c>
      <c r="C62" s="997" t="s">
        <v>853</v>
      </c>
      <c r="D62" s="999">
        <v>8045</v>
      </c>
      <c r="E62" s="999">
        <v>26132</v>
      </c>
      <c r="F62" s="999"/>
      <c r="G62" s="999">
        <v>8133</v>
      </c>
      <c r="H62" s="999">
        <v>0</v>
      </c>
      <c r="I62" s="999">
        <v>0</v>
      </c>
      <c r="J62" s="999">
        <v>0</v>
      </c>
      <c r="K62" s="999">
        <v>0</v>
      </c>
      <c r="L62" s="999"/>
      <c r="M62" s="999">
        <v>0</v>
      </c>
      <c r="N62" s="999">
        <v>0</v>
      </c>
      <c r="O62" s="999">
        <v>0</v>
      </c>
      <c r="P62" s="999">
        <v>130537</v>
      </c>
      <c r="Q62" s="999">
        <v>42310</v>
      </c>
      <c r="R62" s="999">
        <v>172847</v>
      </c>
      <c r="S62" s="1213"/>
      <c r="T62" s="1000" t="s">
        <v>317</v>
      </c>
      <c r="U62" s="997" t="s">
        <v>853</v>
      </c>
      <c r="V62" s="999">
        <v>0</v>
      </c>
      <c r="W62" s="999">
        <v>0</v>
      </c>
      <c r="X62" s="999">
        <v>170558</v>
      </c>
      <c r="Y62" s="999">
        <v>69380</v>
      </c>
      <c r="Z62" s="999">
        <v>0</v>
      </c>
      <c r="AA62" s="999">
        <v>0</v>
      </c>
      <c r="AB62" s="999">
        <v>289</v>
      </c>
      <c r="AC62" s="999">
        <v>2000</v>
      </c>
      <c r="AD62" s="1005">
        <v>172847</v>
      </c>
      <c r="AF62" s="1012"/>
    </row>
    <row r="63" spans="1:32" s="1013" customFormat="1" ht="15.75">
      <c r="A63" s="1217"/>
      <c r="B63" s="1000" t="s">
        <v>317</v>
      </c>
      <c r="C63" s="997" t="s">
        <v>854</v>
      </c>
      <c r="D63" s="999">
        <v>8045</v>
      </c>
      <c r="E63" s="999">
        <v>26132</v>
      </c>
      <c r="F63" s="999"/>
      <c r="G63" s="999">
        <v>8133</v>
      </c>
      <c r="H63" s="999">
        <v>0</v>
      </c>
      <c r="I63" s="999">
        <v>0</v>
      </c>
      <c r="J63" s="999">
        <v>0</v>
      </c>
      <c r="K63" s="999">
        <v>0</v>
      </c>
      <c r="L63" s="999"/>
      <c r="M63" s="999">
        <v>0</v>
      </c>
      <c r="N63" s="999">
        <v>0</v>
      </c>
      <c r="O63" s="999">
        <v>0</v>
      </c>
      <c r="P63" s="999">
        <v>131438</v>
      </c>
      <c r="Q63" s="999">
        <v>42310</v>
      </c>
      <c r="R63" s="999">
        <v>173748</v>
      </c>
      <c r="S63" s="1213"/>
      <c r="T63" s="1000" t="s">
        <v>317</v>
      </c>
      <c r="U63" s="997" t="s">
        <v>854</v>
      </c>
      <c r="V63" s="999">
        <v>0</v>
      </c>
      <c r="W63" s="999">
        <v>0</v>
      </c>
      <c r="X63" s="999">
        <v>171459</v>
      </c>
      <c r="Y63" s="999">
        <v>69380</v>
      </c>
      <c r="Z63" s="999">
        <v>0</v>
      </c>
      <c r="AA63" s="999">
        <v>0</v>
      </c>
      <c r="AB63" s="999">
        <v>2039</v>
      </c>
      <c r="AC63" s="999">
        <v>250</v>
      </c>
      <c r="AD63" s="1005">
        <v>173748</v>
      </c>
      <c r="AF63" s="1012"/>
    </row>
    <row r="64" spans="1:32" ht="15.75">
      <c r="A64" s="1216" t="s">
        <v>869</v>
      </c>
      <c r="B64" s="1000" t="s">
        <v>317</v>
      </c>
      <c r="C64" s="997" t="s">
        <v>4</v>
      </c>
      <c r="D64" s="998">
        <v>1116</v>
      </c>
      <c r="E64" s="998">
        <v>0</v>
      </c>
      <c r="F64" s="998"/>
      <c r="G64" s="998">
        <v>0</v>
      </c>
      <c r="H64" s="998">
        <v>0</v>
      </c>
      <c r="I64" s="998">
        <v>0</v>
      </c>
      <c r="J64" s="998">
        <v>0</v>
      </c>
      <c r="K64" s="998">
        <v>0</v>
      </c>
      <c r="L64" s="998"/>
      <c r="M64" s="998">
        <v>0</v>
      </c>
      <c r="N64" s="998">
        <v>0</v>
      </c>
      <c r="O64" s="998">
        <v>0</v>
      </c>
      <c r="P64" s="998">
        <v>4182</v>
      </c>
      <c r="Q64" s="998">
        <v>1116</v>
      </c>
      <c r="R64" s="999">
        <v>5298</v>
      </c>
      <c r="S64" s="1213" t="s">
        <v>869</v>
      </c>
      <c r="T64" s="1000" t="s">
        <v>317</v>
      </c>
      <c r="U64" s="997" t="s">
        <v>4</v>
      </c>
      <c r="V64" s="998">
        <v>0</v>
      </c>
      <c r="W64" s="998">
        <v>0</v>
      </c>
      <c r="X64" s="998">
        <v>3598</v>
      </c>
      <c r="Y64" s="998">
        <v>0</v>
      </c>
      <c r="Z64" s="998">
        <v>0</v>
      </c>
      <c r="AA64" s="998">
        <v>0</v>
      </c>
      <c r="AB64" s="998">
        <v>1000</v>
      </c>
      <c r="AC64" s="998">
        <v>700</v>
      </c>
      <c r="AD64" s="1001">
        <v>5298</v>
      </c>
      <c r="AF64" s="1012">
        <v>5298</v>
      </c>
    </row>
    <row r="65" spans="1:32" ht="15.75">
      <c r="A65" s="1216"/>
      <c r="B65" s="1000" t="s">
        <v>317</v>
      </c>
      <c r="C65" s="997" t="s">
        <v>852</v>
      </c>
      <c r="D65" s="998">
        <v>1116</v>
      </c>
      <c r="E65" s="998">
        <v>0</v>
      </c>
      <c r="F65" s="998"/>
      <c r="G65" s="998">
        <v>0</v>
      </c>
      <c r="H65" s="998">
        <v>0</v>
      </c>
      <c r="I65" s="998">
        <v>0</v>
      </c>
      <c r="J65" s="998">
        <v>0</v>
      </c>
      <c r="K65" s="998">
        <v>0</v>
      </c>
      <c r="L65" s="998"/>
      <c r="M65" s="998">
        <v>0</v>
      </c>
      <c r="N65" s="998">
        <v>0</v>
      </c>
      <c r="O65" s="998">
        <v>0</v>
      </c>
      <c r="P65" s="998">
        <v>4182</v>
      </c>
      <c r="Q65" s="998">
        <v>1116</v>
      </c>
      <c r="R65" s="999">
        <v>5298</v>
      </c>
      <c r="S65" s="1213"/>
      <c r="T65" s="1000" t="s">
        <v>317</v>
      </c>
      <c r="U65" s="997" t="s">
        <v>852</v>
      </c>
      <c r="V65" s="998">
        <v>0</v>
      </c>
      <c r="W65" s="998">
        <v>0</v>
      </c>
      <c r="X65" s="998">
        <v>3598</v>
      </c>
      <c r="Y65" s="998">
        <v>0</v>
      </c>
      <c r="Z65" s="998">
        <v>0</v>
      </c>
      <c r="AA65" s="998">
        <v>0</v>
      </c>
      <c r="AB65" s="998">
        <v>1000</v>
      </c>
      <c r="AC65" s="998">
        <v>700</v>
      </c>
      <c r="AD65" s="1001">
        <v>5298</v>
      </c>
      <c r="AF65" s="1012"/>
    </row>
    <row r="66" spans="1:32" ht="15.75">
      <c r="A66" s="1216"/>
      <c r="B66" s="1000" t="s">
        <v>317</v>
      </c>
      <c r="C66" s="997" t="s">
        <v>853</v>
      </c>
      <c r="D66" s="998">
        <v>1116</v>
      </c>
      <c r="E66" s="998">
        <v>0</v>
      </c>
      <c r="F66" s="998"/>
      <c r="G66" s="998">
        <v>0</v>
      </c>
      <c r="H66" s="998">
        <v>0</v>
      </c>
      <c r="I66" s="998">
        <v>0</v>
      </c>
      <c r="J66" s="998">
        <v>0</v>
      </c>
      <c r="K66" s="998">
        <v>0</v>
      </c>
      <c r="L66" s="998"/>
      <c r="M66" s="998">
        <v>0</v>
      </c>
      <c r="N66" s="998">
        <v>0</v>
      </c>
      <c r="O66" s="998">
        <v>0</v>
      </c>
      <c r="P66" s="998">
        <v>4182</v>
      </c>
      <c r="Q66" s="998">
        <v>1116</v>
      </c>
      <c r="R66" s="999">
        <v>5298</v>
      </c>
      <c r="S66" s="1213"/>
      <c r="T66" s="1000" t="s">
        <v>317</v>
      </c>
      <c r="U66" s="997" t="s">
        <v>853</v>
      </c>
      <c r="V66" s="998">
        <v>0</v>
      </c>
      <c r="W66" s="998">
        <v>0</v>
      </c>
      <c r="X66" s="998">
        <v>3598</v>
      </c>
      <c r="Y66" s="998">
        <v>0</v>
      </c>
      <c r="Z66" s="998">
        <v>0</v>
      </c>
      <c r="AA66" s="998">
        <v>0</v>
      </c>
      <c r="AB66" s="998">
        <v>1000</v>
      </c>
      <c r="AC66" s="998">
        <v>700</v>
      </c>
      <c r="AD66" s="1001">
        <v>5298</v>
      </c>
      <c r="AF66" s="1012"/>
    </row>
    <row r="67" spans="1:32" ht="15.75">
      <c r="A67" s="1216"/>
      <c r="B67" s="1000" t="s">
        <v>317</v>
      </c>
      <c r="C67" s="997" t="s">
        <v>854</v>
      </c>
      <c r="D67" s="998">
        <v>1116</v>
      </c>
      <c r="E67" s="998">
        <v>0</v>
      </c>
      <c r="F67" s="998"/>
      <c r="G67" s="998">
        <v>0</v>
      </c>
      <c r="H67" s="998">
        <v>0</v>
      </c>
      <c r="I67" s="998">
        <v>0</v>
      </c>
      <c r="J67" s="998">
        <v>0</v>
      </c>
      <c r="K67" s="998">
        <v>0</v>
      </c>
      <c r="L67" s="998"/>
      <c r="M67" s="998">
        <v>0</v>
      </c>
      <c r="N67" s="998">
        <v>0</v>
      </c>
      <c r="O67" s="998">
        <v>0</v>
      </c>
      <c r="P67" s="998">
        <v>4182</v>
      </c>
      <c r="Q67" s="998">
        <v>1116</v>
      </c>
      <c r="R67" s="999">
        <v>5298</v>
      </c>
      <c r="S67" s="1213"/>
      <c r="T67" s="1000" t="s">
        <v>317</v>
      </c>
      <c r="U67" s="997" t="s">
        <v>854</v>
      </c>
      <c r="V67" s="998">
        <v>0</v>
      </c>
      <c r="W67" s="998">
        <v>0</v>
      </c>
      <c r="X67" s="998">
        <v>3598</v>
      </c>
      <c r="Y67" s="998">
        <v>0</v>
      </c>
      <c r="Z67" s="998">
        <v>0</v>
      </c>
      <c r="AA67" s="998">
        <v>0</v>
      </c>
      <c r="AB67" s="998">
        <v>1000</v>
      </c>
      <c r="AC67" s="998">
        <v>700</v>
      </c>
      <c r="AD67" s="1001">
        <v>5298</v>
      </c>
      <c r="AF67" s="1012"/>
    </row>
    <row r="68" spans="1:32" ht="15.75">
      <c r="A68" s="1216" t="s">
        <v>870</v>
      </c>
      <c r="B68" s="1000" t="s">
        <v>317</v>
      </c>
      <c r="C68" s="997" t="s">
        <v>4</v>
      </c>
      <c r="D68" s="998">
        <v>0</v>
      </c>
      <c r="E68" s="998">
        <v>3377</v>
      </c>
      <c r="F68" s="998"/>
      <c r="G68" s="998">
        <v>912</v>
      </c>
      <c r="H68" s="998">
        <v>0</v>
      </c>
      <c r="I68" s="998">
        <v>0</v>
      </c>
      <c r="J68" s="998">
        <v>0</v>
      </c>
      <c r="K68" s="998">
        <v>0</v>
      </c>
      <c r="L68" s="998"/>
      <c r="M68" s="998">
        <v>0</v>
      </c>
      <c r="N68" s="998">
        <v>0</v>
      </c>
      <c r="O68" s="998">
        <v>0</v>
      </c>
      <c r="P68" s="998">
        <v>20441</v>
      </c>
      <c r="Q68" s="998">
        <v>4289</v>
      </c>
      <c r="R68" s="999">
        <v>24730</v>
      </c>
      <c r="S68" s="1213" t="s">
        <v>870</v>
      </c>
      <c r="T68" s="1000" t="s">
        <v>317</v>
      </c>
      <c r="U68" s="997" t="s">
        <v>4</v>
      </c>
      <c r="V68" s="998">
        <v>0</v>
      </c>
      <c r="W68" s="998">
        <v>0</v>
      </c>
      <c r="X68" s="998">
        <v>24730</v>
      </c>
      <c r="Y68" s="998">
        <v>19473</v>
      </c>
      <c r="Z68" s="998">
        <v>0</v>
      </c>
      <c r="AA68" s="998"/>
      <c r="AB68" s="998">
        <v>0</v>
      </c>
      <c r="AC68" s="998">
        <v>0</v>
      </c>
      <c r="AD68" s="1001">
        <v>24730</v>
      </c>
      <c r="AF68" s="1012"/>
    </row>
    <row r="69" spans="1:32" ht="15.75">
      <c r="A69" s="1216"/>
      <c r="B69" s="1000" t="s">
        <v>317</v>
      </c>
      <c r="C69" s="997" t="s">
        <v>852</v>
      </c>
      <c r="D69" s="998">
        <v>0</v>
      </c>
      <c r="E69" s="998">
        <v>3377</v>
      </c>
      <c r="F69" s="998"/>
      <c r="G69" s="998">
        <v>912</v>
      </c>
      <c r="H69" s="998">
        <v>0</v>
      </c>
      <c r="I69" s="998">
        <v>0</v>
      </c>
      <c r="J69" s="998">
        <v>0</v>
      </c>
      <c r="K69" s="998">
        <v>0</v>
      </c>
      <c r="L69" s="998"/>
      <c r="M69" s="998">
        <v>0</v>
      </c>
      <c r="N69" s="998">
        <v>0</v>
      </c>
      <c r="O69" s="998">
        <v>0</v>
      </c>
      <c r="P69" s="998">
        <v>20441</v>
      </c>
      <c r="Q69" s="998">
        <v>4289</v>
      </c>
      <c r="R69" s="999">
        <v>24730</v>
      </c>
      <c r="S69" s="1213"/>
      <c r="T69" s="1000" t="s">
        <v>317</v>
      </c>
      <c r="U69" s="997" t="s">
        <v>852</v>
      </c>
      <c r="V69" s="998">
        <v>0</v>
      </c>
      <c r="W69" s="998">
        <v>0</v>
      </c>
      <c r="X69" s="998">
        <v>24730</v>
      </c>
      <c r="Y69" s="998">
        <v>19473</v>
      </c>
      <c r="Z69" s="998">
        <v>0</v>
      </c>
      <c r="AA69" s="998"/>
      <c r="AB69" s="998">
        <v>0</v>
      </c>
      <c r="AC69" s="998">
        <v>0</v>
      </c>
      <c r="AD69" s="1001">
        <v>24730</v>
      </c>
      <c r="AF69" s="1012"/>
    </row>
    <row r="70" spans="1:32" ht="15.75">
      <c r="A70" s="1216"/>
      <c r="B70" s="1000" t="s">
        <v>317</v>
      </c>
      <c r="C70" s="997" t="s">
        <v>853</v>
      </c>
      <c r="D70" s="998">
        <v>0</v>
      </c>
      <c r="E70" s="998">
        <v>3377</v>
      </c>
      <c r="F70" s="998"/>
      <c r="G70" s="998">
        <v>912</v>
      </c>
      <c r="H70" s="998">
        <v>0</v>
      </c>
      <c r="I70" s="998">
        <v>0</v>
      </c>
      <c r="J70" s="998">
        <v>0</v>
      </c>
      <c r="K70" s="998">
        <v>0</v>
      </c>
      <c r="L70" s="998"/>
      <c r="M70" s="998">
        <v>0</v>
      </c>
      <c r="N70" s="998">
        <v>0</v>
      </c>
      <c r="O70" s="998">
        <v>0</v>
      </c>
      <c r="P70" s="998">
        <v>20441</v>
      </c>
      <c r="Q70" s="998">
        <v>4289</v>
      </c>
      <c r="R70" s="999">
        <v>24730</v>
      </c>
      <c r="S70" s="1213"/>
      <c r="T70" s="1000" t="s">
        <v>317</v>
      </c>
      <c r="U70" s="997" t="s">
        <v>853</v>
      </c>
      <c r="V70" s="998">
        <v>0</v>
      </c>
      <c r="W70" s="998">
        <v>0</v>
      </c>
      <c r="X70" s="998">
        <v>24730</v>
      </c>
      <c r="Y70" s="998">
        <v>19473</v>
      </c>
      <c r="Z70" s="998">
        <v>0</v>
      </c>
      <c r="AA70" s="998"/>
      <c r="AB70" s="998">
        <v>0</v>
      </c>
      <c r="AC70" s="998">
        <v>0</v>
      </c>
      <c r="AD70" s="1001">
        <v>24730</v>
      </c>
      <c r="AF70" s="1012"/>
    </row>
    <row r="71" spans="1:32" ht="15.75">
      <c r="A71" s="1216"/>
      <c r="B71" s="1000" t="s">
        <v>317</v>
      </c>
      <c r="C71" s="997" t="s">
        <v>854</v>
      </c>
      <c r="D71" s="998">
        <v>0</v>
      </c>
      <c r="E71" s="998">
        <v>3377</v>
      </c>
      <c r="F71" s="998"/>
      <c r="G71" s="998">
        <v>912</v>
      </c>
      <c r="H71" s="998">
        <v>0</v>
      </c>
      <c r="I71" s="998">
        <v>0</v>
      </c>
      <c r="J71" s="998">
        <v>0</v>
      </c>
      <c r="K71" s="998">
        <v>0</v>
      </c>
      <c r="L71" s="998"/>
      <c r="M71" s="998">
        <v>0</v>
      </c>
      <c r="N71" s="998">
        <v>0</v>
      </c>
      <c r="O71" s="998">
        <v>0</v>
      </c>
      <c r="P71" s="998">
        <v>20441</v>
      </c>
      <c r="Q71" s="998">
        <v>4289</v>
      </c>
      <c r="R71" s="999">
        <v>24730</v>
      </c>
      <c r="S71" s="1213"/>
      <c r="T71" s="1000" t="s">
        <v>317</v>
      </c>
      <c r="U71" s="997" t="s">
        <v>854</v>
      </c>
      <c r="V71" s="998">
        <v>0</v>
      </c>
      <c r="W71" s="998">
        <v>0</v>
      </c>
      <c r="X71" s="998">
        <v>24730</v>
      </c>
      <c r="Y71" s="998">
        <v>19473</v>
      </c>
      <c r="Z71" s="998">
        <v>0</v>
      </c>
      <c r="AA71" s="998"/>
      <c r="AB71" s="998">
        <v>0</v>
      </c>
      <c r="AC71" s="998">
        <v>0</v>
      </c>
      <c r="AD71" s="1001">
        <v>24730</v>
      </c>
      <c r="AF71" s="1012"/>
    </row>
    <row r="72" spans="1:32" ht="15.75">
      <c r="A72" s="1218" t="s">
        <v>871</v>
      </c>
      <c r="B72" s="1006" t="s">
        <v>317</v>
      </c>
      <c r="C72" s="997" t="s">
        <v>853</v>
      </c>
      <c r="D72" s="998"/>
      <c r="E72" s="998">
        <v>1799</v>
      </c>
      <c r="F72" s="998"/>
      <c r="G72" s="998">
        <v>486</v>
      </c>
      <c r="H72" s="998"/>
      <c r="I72" s="998"/>
      <c r="J72" s="998"/>
      <c r="K72" s="998"/>
      <c r="L72" s="998"/>
      <c r="M72" s="998"/>
      <c r="N72" s="998"/>
      <c r="O72" s="998"/>
      <c r="P72" s="998">
        <v>3060</v>
      </c>
      <c r="Q72" s="998">
        <v>2285</v>
      </c>
      <c r="R72" s="999">
        <v>5345</v>
      </c>
      <c r="S72" s="1219" t="s">
        <v>871</v>
      </c>
      <c r="T72" s="1000" t="s">
        <v>317</v>
      </c>
      <c r="U72" s="997" t="s">
        <v>853</v>
      </c>
      <c r="V72" s="998"/>
      <c r="W72" s="998"/>
      <c r="X72" s="998">
        <v>5345</v>
      </c>
      <c r="Y72" s="998">
        <v>3273</v>
      </c>
      <c r="Z72" s="998"/>
      <c r="AA72" s="998"/>
      <c r="AB72" s="998"/>
      <c r="AC72" s="998"/>
      <c r="AD72" s="1001">
        <v>5345</v>
      </c>
      <c r="AF72" s="1012"/>
    </row>
    <row r="73" spans="1:32" ht="15.75">
      <c r="A73" s="1218"/>
      <c r="B73" s="1000" t="s">
        <v>317</v>
      </c>
      <c r="C73" s="997" t="s">
        <v>854</v>
      </c>
      <c r="D73" s="998"/>
      <c r="E73" s="998">
        <v>1799</v>
      </c>
      <c r="F73" s="998"/>
      <c r="G73" s="998">
        <v>486</v>
      </c>
      <c r="H73" s="998"/>
      <c r="I73" s="998"/>
      <c r="J73" s="998"/>
      <c r="K73" s="998"/>
      <c r="L73" s="998"/>
      <c r="M73" s="998"/>
      <c r="N73" s="998"/>
      <c r="O73" s="998"/>
      <c r="P73" s="998">
        <v>3060</v>
      </c>
      <c r="Q73" s="998">
        <v>2285</v>
      </c>
      <c r="R73" s="999">
        <v>5345</v>
      </c>
      <c r="S73" s="1219"/>
      <c r="T73" s="1000" t="s">
        <v>317</v>
      </c>
      <c r="U73" s="997" t="s">
        <v>854</v>
      </c>
      <c r="V73" s="998"/>
      <c r="W73" s="998"/>
      <c r="X73" s="998">
        <v>5345</v>
      </c>
      <c r="Y73" s="998">
        <v>3273</v>
      </c>
      <c r="Z73" s="998"/>
      <c r="AA73" s="998"/>
      <c r="AB73" s="998"/>
      <c r="AC73" s="998"/>
      <c r="AD73" s="1001">
        <v>5345</v>
      </c>
      <c r="AF73" s="1012"/>
    </row>
    <row r="74" spans="1:32" ht="15.75">
      <c r="A74" s="1216" t="s">
        <v>872</v>
      </c>
      <c r="B74" s="1220" t="s">
        <v>873</v>
      </c>
      <c r="C74" s="997" t="s">
        <v>4</v>
      </c>
      <c r="D74" s="998">
        <v>366</v>
      </c>
      <c r="E74" s="998">
        <v>0</v>
      </c>
      <c r="F74" s="998"/>
      <c r="G74" s="998">
        <v>10018</v>
      </c>
      <c r="H74" s="998">
        <v>0</v>
      </c>
      <c r="I74" s="998">
        <v>0</v>
      </c>
      <c r="J74" s="998">
        <v>0</v>
      </c>
      <c r="K74" s="998">
        <v>0</v>
      </c>
      <c r="L74" s="998"/>
      <c r="M74" s="998">
        <v>0</v>
      </c>
      <c r="N74" s="998">
        <v>0</v>
      </c>
      <c r="O74" s="998">
        <v>0</v>
      </c>
      <c r="P74" s="998">
        <v>28308</v>
      </c>
      <c r="Q74" s="998">
        <v>10384</v>
      </c>
      <c r="R74" s="999">
        <v>38692</v>
      </c>
      <c r="S74" s="1213" t="s">
        <v>872</v>
      </c>
      <c r="T74" s="1220" t="s">
        <v>873</v>
      </c>
      <c r="U74" s="997" t="s">
        <v>4</v>
      </c>
      <c r="V74" s="998">
        <v>18984</v>
      </c>
      <c r="W74" s="998">
        <v>4996</v>
      </c>
      <c r="X74" s="998">
        <v>14712</v>
      </c>
      <c r="Y74" s="998">
        <v>0</v>
      </c>
      <c r="Z74" s="998">
        <v>0</v>
      </c>
      <c r="AA74" s="998">
        <v>0</v>
      </c>
      <c r="AB74" s="998">
        <v>0</v>
      </c>
      <c r="AC74" s="998">
        <v>0</v>
      </c>
      <c r="AD74" s="1001">
        <v>38692</v>
      </c>
      <c r="AF74" s="1012"/>
    </row>
    <row r="75" spans="1:32" ht="15.75">
      <c r="A75" s="1216"/>
      <c r="B75" s="1220"/>
      <c r="C75" s="997" t="s">
        <v>852</v>
      </c>
      <c r="D75" s="998">
        <v>366</v>
      </c>
      <c r="E75" s="998">
        <v>0</v>
      </c>
      <c r="F75" s="998">
        <v>42</v>
      </c>
      <c r="G75" s="998">
        <v>10018</v>
      </c>
      <c r="H75" s="998">
        <v>0</v>
      </c>
      <c r="I75" s="998">
        <v>0</v>
      </c>
      <c r="J75" s="998">
        <v>0</v>
      </c>
      <c r="K75" s="998">
        <v>0</v>
      </c>
      <c r="L75" s="998"/>
      <c r="M75" s="998">
        <v>0</v>
      </c>
      <c r="N75" s="998">
        <v>1630</v>
      </c>
      <c r="O75" s="998">
        <v>0</v>
      </c>
      <c r="P75" s="998">
        <v>31026</v>
      </c>
      <c r="Q75" s="998">
        <v>12056</v>
      </c>
      <c r="R75" s="999">
        <v>43082</v>
      </c>
      <c r="S75" s="1213"/>
      <c r="T75" s="1220"/>
      <c r="U75" s="997" t="s">
        <v>852</v>
      </c>
      <c r="V75" s="998">
        <v>22131</v>
      </c>
      <c r="W75" s="998">
        <v>5837</v>
      </c>
      <c r="X75" s="998">
        <v>14664</v>
      </c>
      <c r="Y75" s="998">
        <v>0</v>
      </c>
      <c r="Z75" s="998">
        <v>0</v>
      </c>
      <c r="AA75" s="998">
        <v>250</v>
      </c>
      <c r="AB75" s="998">
        <v>200</v>
      </c>
      <c r="AC75" s="998">
        <v>0</v>
      </c>
      <c r="AD75" s="1001">
        <v>43082</v>
      </c>
      <c r="AF75" s="1012"/>
    </row>
    <row r="76" spans="1:32" ht="15.75">
      <c r="A76" s="1216"/>
      <c r="B76" s="1220"/>
      <c r="C76" s="997" t="s">
        <v>853</v>
      </c>
      <c r="D76" s="998">
        <v>366</v>
      </c>
      <c r="E76" s="998">
        <v>0</v>
      </c>
      <c r="F76" s="998">
        <v>42</v>
      </c>
      <c r="G76" s="998">
        <v>11575</v>
      </c>
      <c r="H76" s="998">
        <v>0</v>
      </c>
      <c r="I76" s="998">
        <v>0</v>
      </c>
      <c r="J76" s="998">
        <v>0</v>
      </c>
      <c r="K76" s="998">
        <v>0</v>
      </c>
      <c r="L76" s="998"/>
      <c r="M76" s="998">
        <v>0</v>
      </c>
      <c r="N76" s="998">
        <v>1380</v>
      </c>
      <c r="O76" s="998">
        <v>0</v>
      </c>
      <c r="P76" s="998">
        <v>31223</v>
      </c>
      <c r="Q76" s="998">
        <v>13363</v>
      </c>
      <c r="R76" s="999">
        <v>44586</v>
      </c>
      <c r="S76" s="1213"/>
      <c r="T76" s="1220"/>
      <c r="U76" s="997" t="s">
        <v>853</v>
      </c>
      <c r="V76" s="998">
        <v>22286</v>
      </c>
      <c r="W76" s="998">
        <v>5879</v>
      </c>
      <c r="X76" s="998">
        <v>15823</v>
      </c>
      <c r="Y76" s="998">
        <v>0</v>
      </c>
      <c r="Z76" s="998">
        <v>0</v>
      </c>
      <c r="AA76" s="998">
        <v>0</v>
      </c>
      <c r="AB76" s="998">
        <v>598</v>
      </c>
      <c r="AC76" s="998">
        <v>0</v>
      </c>
      <c r="AD76" s="1001">
        <v>44586</v>
      </c>
      <c r="AF76" s="1012"/>
    </row>
    <row r="77" spans="1:32" ht="15.75">
      <c r="A77" s="1216"/>
      <c r="B77" s="1220"/>
      <c r="C77" s="997" t="s">
        <v>854</v>
      </c>
      <c r="D77" s="998">
        <v>366</v>
      </c>
      <c r="E77" s="998">
        <v>0</v>
      </c>
      <c r="F77" s="998">
        <v>42</v>
      </c>
      <c r="G77" s="998">
        <v>11575</v>
      </c>
      <c r="H77" s="998">
        <v>0</v>
      </c>
      <c r="I77" s="998">
        <v>0</v>
      </c>
      <c r="J77" s="998">
        <v>0</v>
      </c>
      <c r="K77" s="998">
        <v>0</v>
      </c>
      <c r="L77" s="998"/>
      <c r="M77" s="998">
        <v>0</v>
      </c>
      <c r="N77" s="998">
        <v>1380</v>
      </c>
      <c r="O77" s="998">
        <v>0</v>
      </c>
      <c r="P77" s="998">
        <v>31378</v>
      </c>
      <c r="Q77" s="998">
        <v>13363</v>
      </c>
      <c r="R77" s="999">
        <v>44741</v>
      </c>
      <c r="S77" s="1213"/>
      <c r="T77" s="1220"/>
      <c r="U77" s="997" t="s">
        <v>854</v>
      </c>
      <c r="V77" s="998">
        <v>22420</v>
      </c>
      <c r="W77" s="998">
        <v>5932</v>
      </c>
      <c r="X77" s="998">
        <v>15281</v>
      </c>
      <c r="Y77" s="998">
        <v>0</v>
      </c>
      <c r="Z77" s="998">
        <v>0</v>
      </c>
      <c r="AA77" s="998">
        <v>0</v>
      </c>
      <c r="AB77" s="998">
        <v>1108</v>
      </c>
      <c r="AC77" s="998">
        <v>0</v>
      </c>
      <c r="AD77" s="1001">
        <v>44741</v>
      </c>
      <c r="AF77" s="1012"/>
    </row>
    <row r="78" spans="1:32" ht="15.75">
      <c r="A78" s="1216" t="s">
        <v>874</v>
      </c>
      <c r="B78" s="1221"/>
      <c r="C78" s="997" t="s">
        <v>4</v>
      </c>
      <c r="D78" s="998">
        <v>13047</v>
      </c>
      <c r="E78" s="998">
        <v>54603</v>
      </c>
      <c r="F78" s="998"/>
      <c r="G78" s="998">
        <v>26735</v>
      </c>
      <c r="H78" s="998">
        <v>0</v>
      </c>
      <c r="I78" s="998">
        <v>0</v>
      </c>
      <c r="J78" s="998">
        <v>0</v>
      </c>
      <c r="K78" s="998">
        <v>0</v>
      </c>
      <c r="L78" s="998"/>
      <c r="M78" s="998">
        <v>0</v>
      </c>
      <c r="N78" s="998">
        <v>0</v>
      </c>
      <c r="O78" s="998">
        <v>0</v>
      </c>
      <c r="P78" s="998">
        <v>282244</v>
      </c>
      <c r="Q78" s="998">
        <v>94385</v>
      </c>
      <c r="R78" s="999">
        <v>376629</v>
      </c>
      <c r="S78" s="1213" t="s">
        <v>874</v>
      </c>
      <c r="T78" s="1221"/>
      <c r="U78" s="997" t="s">
        <v>4</v>
      </c>
      <c r="V78" s="998">
        <v>18984</v>
      </c>
      <c r="W78" s="998">
        <v>4996</v>
      </c>
      <c r="X78" s="998">
        <v>343179</v>
      </c>
      <c r="Y78" s="998">
        <v>164448</v>
      </c>
      <c r="Z78" s="998">
        <v>0</v>
      </c>
      <c r="AA78" s="998"/>
      <c r="AB78" s="998">
        <v>1000</v>
      </c>
      <c r="AC78" s="998">
        <v>8470</v>
      </c>
      <c r="AD78" s="1001">
        <v>376629</v>
      </c>
      <c r="AF78" s="1012"/>
    </row>
    <row r="79" spans="1:32" ht="15.75">
      <c r="A79" s="1216"/>
      <c r="B79" s="1222"/>
      <c r="C79" s="997" t="s">
        <v>852</v>
      </c>
      <c r="D79" s="998">
        <v>13047</v>
      </c>
      <c r="E79" s="998">
        <v>54603</v>
      </c>
      <c r="F79" s="998"/>
      <c r="G79" s="998">
        <v>26735</v>
      </c>
      <c r="H79" s="998">
        <v>0</v>
      </c>
      <c r="I79" s="998">
        <v>0</v>
      </c>
      <c r="J79" s="998">
        <v>0</v>
      </c>
      <c r="K79" s="998">
        <v>0</v>
      </c>
      <c r="L79" s="998"/>
      <c r="M79" s="998">
        <v>0</v>
      </c>
      <c r="N79" s="998">
        <v>1630</v>
      </c>
      <c r="O79" s="998">
        <v>0</v>
      </c>
      <c r="P79" s="998">
        <v>284962</v>
      </c>
      <c r="Q79" s="998">
        <v>96057</v>
      </c>
      <c r="R79" s="998">
        <v>381019</v>
      </c>
      <c r="S79" s="1213"/>
      <c r="T79" s="1222"/>
      <c r="U79" s="997" t="s">
        <v>852</v>
      </c>
      <c r="V79" s="998">
        <v>22131</v>
      </c>
      <c r="W79" s="998">
        <v>5837</v>
      </c>
      <c r="X79" s="998">
        <v>342677</v>
      </c>
      <c r="Y79" s="998">
        <v>164448</v>
      </c>
      <c r="Z79" s="998">
        <v>0</v>
      </c>
      <c r="AA79" s="998">
        <v>250</v>
      </c>
      <c r="AB79" s="998">
        <v>1654</v>
      </c>
      <c r="AC79" s="998">
        <v>8470</v>
      </c>
      <c r="AD79" s="1001">
        <v>381019</v>
      </c>
      <c r="AF79" s="1012"/>
    </row>
    <row r="80" spans="1:32" ht="15.75">
      <c r="A80" s="1216"/>
      <c r="B80" s="1222"/>
      <c r="C80" s="997" t="s">
        <v>853</v>
      </c>
      <c r="D80" s="998">
        <v>13047</v>
      </c>
      <c r="E80" s="998">
        <v>56402</v>
      </c>
      <c r="F80" s="998">
        <v>42</v>
      </c>
      <c r="G80" s="998">
        <v>28778</v>
      </c>
      <c r="H80" s="998">
        <v>0</v>
      </c>
      <c r="I80" s="998">
        <v>0</v>
      </c>
      <c r="J80" s="998">
        <v>0</v>
      </c>
      <c r="K80" s="998">
        <v>0</v>
      </c>
      <c r="L80" s="998">
        <v>0</v>
      </c>
      <c r="M80" s="998">
        <v>0</v>
      </c>
      <c r="N80" s="998">
        <v>1380</v>
      </c>
      <c r="O80" s="998">
        <v>0</v>
      </c>
      <c r="P80" s="998">
        <v>288219</v>
      </c>
      <c r="Q80" s="998">
        <v>99649</v>
      </c>
      <c r="R80" s="998">
        <v>387868</v>
      </c>
      <c r="S80" s="1213"/>
      <c r="T80" s="1222"/>
      <c r="U80" s="997" t="s">
        <v>853</v>
      </c>
      <c r="V80" s="998">
        <v>22286</v>
      </c>
      <c r="W80" s="998">
        <v>5879</v>
      </c>
      <c r="X80" s="998">
        <v>347947</v>
      </c>
      <c r="Y80" s="998">
        <v>167721</v>
      </c>
      <c r="Z80" s="998">
        <v>0</v>
      </c>
      <c r="AA80" s="998">
        <v>0</v>
      </c>
      <c r="AB80" s="998">
        <v>3286</v>
      </c>
      <c r="AC80" s="998">
        <v>8470</v>
      </c>
      <c r="AD80" s="1001">
        <v>387868</v>
      </c>
      <c r="AE80" s="1002">
        <v>0</v>
      </c>
      <c r="AF80" s="998">
        <v>0</v>
      </c>
    </row>
    <row r="81" spans="1:32" ht="15.75">
      <c r="A81" s="1216"/>
      <c r="B81" s="1223"/>
      <c r="C81" s="997" t="s">
        <v>854</v>
      </c>
      <c r="D81" s="998">
        <v>13047</v>
      </c>
      <c r="E81" s="998">
        <v>56402</v>
      </c>
      <c r="F81" s="998">
        <v>42</v>
      </c>
      <c r="G81" s="998">
        <v>28778</v>
      </c>
      <c r="H81" s="998">
        <v>0</v>
      </c>
      <c r="I81" s="998">
        <v>0</v>
      </c>
      <c r="J81" s="998">
        <v>0</v>
      </c>
      <c r="K81" s="998">
        <v>0</v>
      </c>
      <c r="L81" s="998">
        <v>0</v>
      </c>
      <c r="M81" s="998">
        <v>0</v>
      </c>
      <c r="N81" s="998">
        <v>1380</v>
      </c>
      <c r="O81" s="998">
        <v>0</v>
      </c>
      <c r="P81" s="998">
        <v>290210</v>
      </c>
      <c r="Q81" s="998">
        <v>99649</v>
      </c>
      <c r="R81" s="998">
        <v>389859</v>
      </c>
      <c r="S81" s="1213"/>
      <c r="T81" s="1223"/>
      <c r="U81" s="997" t="s">
        <v>854</v>
      </c>
      <c r="V81" s="998">
        <v>22420</v>
      </c>
      <c r="W81" s="998">
        <v>5932</v>
      </c>
      <c r="X81" s="998">
        <v>349181</v>
      </c>
      <c r="Y81" s="998">
        <v>167721</v>
      </c>
      <c r="Z81" s="998">
        <v>0</v>
      </c>
      <c r="AA81" s="998">
        <v>0</v>
      </c>
      <c r="AB81" s="998">
        <v>6381</v>
      </c>
      <c r="AC81" s="998">
        <v>5945</v>
      </c>
      <c r="AD81" s="1001">
        <v>389859</v>
      </c>
      <c r="AE81" s="1002"/>
      <c r="AF81" s="998"/>
    </row>
    <row r="82" spans="1:32" ht="15.75">
      <c r="A82" s="1216" t="s">
        <v>875</v>
      </c>
      <c r="B82" s="1000" t="s">
        <v>317</v>
      </c>
      <c r="C82" s="997" t="s">
        <v>4</v>
      </c>
      <c r="D82" s="998">
        <v>1230</v>
      </c>
      <c r="E82" s="998">
        <v>0</v>
      </c>
      <c r="F82" s="998"/>
      <c r="G82" s="998">
        <v>332</v>
      </c>
      <c r="H82" s="998">
        <v>0</v>
      </c>
      <c r="I82" s="998">
        <v>0</v>
      </c>
      <c r="J82" s="998">
        <v>0</v>
      </c>
      <c r="K82" s="998">
        <v>0</v>
      </c>
      <c r="L82" s="998"/>
      <c r="M82" s="998">
        <v>0</v>
      </c>
      <c r="N82" s="998">
        <v>0</v>
      </c>
      <c r="O82" s="998">
        <v>0</v>
      </c>
      <c r="P82" s="998">
        <v>40271</v>
      </c>
      <c r="Q82" s="998">
        <v>1562</v>
      </c>
      <c r="R82" s="999">
        <v>41833</v>
      </c>
      <c r="S82" s="1213" t="s">
        <v>875</v>
      </c>
      <c r="T82" s="1000" t="s">
        <v>317</v>
      </c>
      <c r="U82" s="997" t="s">
        <v>4</v>
      </c>
      <c r="V82" s="998">
        <v>20534</v>
      </c>
      <c r="W82" s="998">
        <v>5287</v>
      </c>
      <c r="X82" s="998">
        <v>16012</v>
      </c>
      <c r="Y82" s="998">
        <v>0</v>
      </c>
      <c r="Z82" s="998">
        <v>0</v>
      </c>
      <c r="AA82" s="998">
        <v>0</v>
      </c>
      <c r="AB82" s="998">
        <v>0</v>
      </c>
      <c r="AC82" s="998">
        <v>0</v>
      </c>
      <c r="AD82" s="1001">
        <v>41833</v>
      </c>
      <c r="AF82" s="1012">
        <v>41833</v>
      </c>
    </row>
    <row r="83" spans="1:32" ht="15.75">
      <c r="A83" s="1216"/>
      <c r="B83" s="1000" t="s">
        <v>317</v>
      </c>
      <c r="C83" s="997" t="s">
        <v>852</v>
      </c>
      <c r="D83" s="998">
        <v>1230</v>
      </c>
      <c r="E83" s="998">
        <v>0</v>
      </c>
      <c r="F83" s="998"/>
      <c r="G83" s="998">
        <v>332</v>
      </c>
      <c r="H83" s="998">
        <v>0</v>
      </c>
      <c r="I83" s="998">
        <v>0</v>
      </c>
      <c r="J83" s="998">
        <v>0</v>
      </c>
      <c r="K83" s="998">
        <v>0</v>
      </c>
      <c r="L83" s="998"/>
      <c r="M83" s="998">
        <v>0</v>
      </c>
      <c r="N83" s="998">
        <v>49</v>
      </c>
      <c r="O83" s="998">
        <v>0</v>
      </c>
      <c r="P83" s="998">
        <v>42752</v>
      </c>
      <c r="Q83" s="998">
        <v>1611</v>
      </c>
      <c r="R83" s="999">
        <v>44363</v>
      </c>
      <c r="S83" s="1213"/>
      <c r="T83" s="1000" t="s">
        <v>317</v>
      </c>
      <c r="U83" s="997" t="s">
        <v>852</v>
      </c>
      <c r="V83" s="998">
        <v>20724</v>
      </c>
      <c r="W83" s="998">
        <v>5328</v>
      </c>
      <c r="X83" s="998">
        <v>17666</v>
      </c>
      <c r="Y83" s="998">
        <v>0</v>
      </c>
      <c r="Z83" s="998">
        <v>0</v>
      </c>
      <c r="AA83" s="998">
        <v>0</v>
      </c>
      <c r="AB83" s="998">
        <v>645</v>
      </c>
      <c r="AC83" s="998">
        <v>0</v>
      </c>
      <c r="AD83" s="1001">
        <v>44363</v>
      </c>
      <c r="AF83" s="1012"/>
    </row>
    <row r="84" spans="1:32" ht="15.75">
      <c r="A84" s="1216"/>
      <c r="B84" s="1000" t="s">
        <v>317</v>
      </c>
      <c r="C84" s="997" t="s">
        <v>853</v>
      </c>
      <c r="D84" s="998">
        <v>1230</v>
      </c>
      <c r="E84" s="998">
        <v>0</v>
      </c>
      <c r="F84" s="998"/>
      <c r="G84" s="998">
        <v>332</v>
      </c>
      <c r="H84" s="998">
        <v>0</v>
      </c>
      <c r="I84" s="998">
        <v>0</v>
      </c>
      <c r="J84" s="998">
        <v>0</v>
      </c>
      <c r="K84" s="998">
        <v>0</v>
      </c>
      <c r="L84" s="998"/>
      <c r="M84" s="998">
        <v>0</v>
      </c>
      <c r="N84" s="998">
        <v>49</v>
      </c>
      <c r="O84" s="998">
        <v>0</v>
      </c>
      <c r="P84" s="998">
        <v>43006</v>
      </c>
      <c r="Q84" s="998">
        <v>1611</v>
      </c>
      <c r="R84" s="999">
        <v>44617</v>
      </c>
      <c r="S84" s="1213"/>
      <c r="T84" s="1000" t="s">
        <v>317</v>
      </c>
      <c r="U84" s="997" t="s">
        <v>853</v>
      </c>
      <c r="V84" s="998">
        <v>20924</v>
      </c>
      <c r="W84" s="998">
        <v>5382</v>
      </c>
      <c r="X84" s="998">
        <v>17666</v>
      </c>
      <c r="Y84" s="998">
        <v>0</v>
      </c>
      <c r="Z84" s="998">
        <v>0</v>
      </c>
      <c r="AA84" s="998">
        <v>0</v>
      </c>
      <c r="AB84" s="998">
        <v>645</v>
      </c>
      <c r="AC84" s="998">
        <v>0</v>
      </c>
      <c r="AD84" s="1001">
        <v>44617</v>
      </c>
      <c r="AF84" s="1012"/>
    </row>
    <row r="85" spans="1:32" ht="15.75">
      <c r="A85" s="1216"/>
      <c r="B85" s="1000" t="s">
        <v>317</v>
      </c>
      <c r="C85" s="997" t="s">
        <v>854</v>
      </c>
      <c r="D85" s="998">
        <v>1230</v>
      </c>
      <c r="E85" s="998">
        <v>0</v>
      </c>
      <c r="F85" s="998"/>
      <c r="G85" s="998">
        <v>332</v>
      </c>
      <c r="H85" s="998">
        <v>57</v>
      </c>
      <c r="I85" s="998">
        <v>0</v>
      </c>
      <c r="J85" s="998">
        <v>0</v>
      </c>
      <c r="K85" s="998">
        <v>0</v>
      </c>
      <c r="L85" s="998"/>
      <c r="M85" s="998">
        <v>0</v>
      </c>
      <c r="N85" s="998">
        <v>49</v>
      </c>
      <c r="O85" s="998">
        <v>0</v>
      </c>
      <c r="P85" s="998">
        <v>43234</v>
      </c>
      <c r="Q85" s="998">
        <v>1668</v>
      </c>
      <c r="R85" s="999">
        <v>44902</v>
      </c>
      <c r="S85" s="1213"/>
      <c r="T85" s="1000" t="s">
        <v>317</v>
      </c>
      <c r="U85" s="997" t="s">
        <v>854</v>
      </c>
      <c r="V85" s="998">
        <v>21095</v>
      </c>
      <c r="W85" s="998">
        <v>5439</v>
      </c>
      <c r="X85" s="998">
        <v>17723</v>
      </c>
      <c r="Y85" s="998">
        <v>0</v>
      </c>
      <c r="Z85" s="998">
        <v>0</v>
      </c>
      <c r="AA85" s="998">
        <v>0</v>
      </c>
      <c r="AB85" s="998">
        <v>645</v>
      </c>
      <c r="AC85" s="998">
        <v>0</v>
      </c>
      <c r="AD85" s="1001">
        <v>44902</v>
      </c>
      <c r="AF85" s="1012"/>
    </row>
    <row r="86" spans="1:32" s="1013" customFormat="1" ht="15.75">
      <c r="A86" s="1217" t="s">
        <v>876</v>
      </c>
      <c r="B86" s="1000" t="s">
        <v>317</v>
      </c>
      <c r="C86" s="1004" t="s">
        <v>4</v>
      </c>
      <c r="D86" s="998">
        <v>0</v>
      </c>
      <c r="E86" s="998">
        <v>0</v>
      </c>
      <c r="F86" s="998"/>
      <c r="G86" s="998">
        <v>0</v>
      </c>
      <c r="H86" s="998">
        <v>0</v>
      </c>
      <c r="I86" s="998">
        <v>110310</v>
      </c>
      <c r="J86" s="998">
        <v>0</v>
      </c>
      <c r="K86" s="998">
        <v>0</v>
      </c>
      <c r="L86" s="998"/>
      <c r="M86" s="998">
        <v>0</v>
      </c>
      <c r="N86" s="998">
        <v>0</v>
      </c>
      <c r="O86" s="998">
        <v>0</v>
      </c>
      <c r="P86" s="998">
        <v>18858</v>
      </c>
      <c r="Q86" s="998">
        <v>110310</v>
      </c>
      <c r="R86" s="999">
        <v>129168</v>
      </c>
      <c r="S86" s="1213" t="s">
        <v>876</v>
      </c>
      <c r="T86" s="1000" t="s">
        <v>317</v>
      </c>
      <c r="U86" s="997" t="s">
        <v>4</v>
      </c>
      <c r="V86" s="998">
        <v>65135</v>
      </c>
      <c r="W86" s="998">
        <v>17419</v>
      </c>
      <c r="X86" s="998">
        <v>40494</v>
      </c>
      <c r="Y86" s="998">
        <v>0</v>
      </c>
      <c r="Z86" s="998">
        <v>0</v>
      </c>
      <c r="AA86" s="998">
        <v>0</v>
      </c>
      <c r="AB86" s="998">
        <v>6120</v>
      </c>
      <c r="AC86" s="998">
        <v>0</v>
      </c>
      <c r="AD86" s="1001">
        <v>129168</v>
      </c>
      <c r="AF86" s="1014">
        <v>129168</v>
      </c>
    </row>
    <row r="87" spans="1:32" s="1013" customFormat="1" ht="15.75">
      <c r="A87" s="1217"/>
      <c r="B87" s="1000" t="s">
        <v>317</v>
      </c>
      <c r="C87" s="997" t="s">
        <v>852</v>
      </c>
      <c r="D87" s="998">
        <v>114</v>
      </c>
      <c r="E87" s="998">
        <v>0</v>
      </c>
      <c r="F87" s="998">
        <v>48</v>
      </c>
      <c r="G87" s="998">
        <v>0</v>
      </c>
      <c r="H87" s="998">
        <v>0</v>
      </c>
      <c r="I87" s="998">
        <v>110310</v>
      </c>
      <c r="J87" s="998">
        <v>0</v>
      </c>
      <c r="K87" s="998">
        <v>0</v>
      </c>
      <c r="L87" s="998"/>
      <c r="M87" s="998">
        <v>0</v>
      </c>
      <c r="N87" s="998">
        <v>3243</v>
      </c>
      <c r="O87" s="998">
        <v>0</v>
      </c>
      <c r="P87" s="998">
        <v>19187</v>
      </c>
      <c r="Q87" s="998">
        <v>113715</v>
      </c>
      <c r="R87" s="999">
        <v>132902</v>
      </c>
      <c r="S87" s="1213"/>
      <c r="T87" s="1000" t="s">
        <v>317</v>
      </c>
      <c r="U87" s="997" t="s">
        <v>852</v>
      </c>
      <c r="V87" s="998">
        <v>66390</v>
      </c>
      <c r="W87" s="998">
        <v>17743</v>
      </c>
      <c r="X87" s="998">
        <v>41045</v>
      </c>
      <c r="Y87" s="998">
        <v>0</v>
      </c>
      <c r="Z87" s="998">
        <v>0</v>
      </c>
      <c r="AA87" s="998">
        <v>1404</v>
      </c>
      <c r="AB87" s="998">
        <v>6320</v>
      </c>
      <c r="AC87" s="998">
        <v>0</v>
      </c>
      <c r="AD87" s="1001">
        <v>132902</v>
      </c>
      <c r="AF87" s="1014"/>
    </row>
    <row r="88" spans="1:32" s="1013" customFormat="1" ht="15.75">
      <c r="A88" s="1217"/>
      <c r="B88" s="1000" t="s">
        <v>317</v>
      </c>
      <c r="C88" s="997" t="s">
        <v>853</v>
      </c>
      <c r="D88" s="998">
        <v>114</v>
      </c>
      <c r="E88" s="998">
        <v>0</v>
      </c>
      <c r="F88" s="998">
        <v>48</v>
      </c>
      <c r="G88" s="998">
        <v>0</v>
      </c>
      <c r="H88" s="998">
        <v>0</v>
      </c>
      <c r="I88" s="998">
        <v>110310</v>
      </c>
      <c r="J88" s="998">
        <v>0</v>
      </c>
      <c r="K88" s="998">
        <v>0</v>
      </c>
      <c r="L88" s="998"/>
      <c r="M88" s="998">
        <v>0</v>
      </c>
      <c r="N88" s="998">
        <v>3243</v>
      </c>
      <c r="O88" s="998">
        <v>0</v>
      </c>
      <c r="P88" s="998">
        <v>19534</v>
      </c>
      <c r="Q88" s="998">
        <v>113715</v>
      </c>
      <c r="R88" s="999">
        <v>133249</v>
      </c>
      <c r="S88" s="1213"/>
      <c r="T88" s="1000" t="s">
        <v>317</v>
      </c>
      <c r="U88" s="997" t="s">
        <v>853</v>
      </c>
      <c r="V88" s="998">
        <v>64563</v>
      </c>
      <c r="W88" s="998">
        <v>17250</v>
      </c>
      <c r="X88" s="998">
        <v>43712</v>
      </c>
      <c r="Y88" s="998">
        <v>0</v>
      </c>
      <c r="Z88" s="998">
        <v>0</v>
      </c>
      <c r="AA88" s="998">
        <v>1404</v>
      </c>
      <c r="AB88" s="998">
        <v>6320</v>
      </c>
      <c r="AC88" s="998"/>
      <c r="AD88" s="1001">
        <v>133249</v>
      </c>
      <c r="AF88" s="1014"/>
    </row>
    <row r="89" spans="1:32" s="1013" customFormat="1" ht="15.75">
      <c r="A89" s="1217"/>
      <c r="B89" s="1000" t="s">
        <v>317</v>
      </c>
      <c r="C89" s="997" t="s">
        <v>854</v>
      </c>
      <c r="D89" s="998">
        <v>114</v>
      </c>
      <c r="E89" s="998">
        <v>0</v>
      </c>
      <c r="F89" s="998">
        <v>48</v>
      </c>
      <c r="G89" s="998">
        <v>0</v>
      </c>
      <c r="H89" s="998">
        <v>0</v>
      </c>
      <c r="I89" s="998">
        <v>110310</v>
      </c>
      <c r="J89" s="998">
        <v>0</v>
      </c>
      <c r="K89" s="998">
        <v>6000</v>
      </c>
      <c r="L89" s="998"/>
      <c r="M89" s="998">
        <v>0</v>
      </c>
      <c r="N89" s="998">
        <v>3243</v>
      </c>
      <c r="O89" s="998">
        <v>0</v>
      </c>
      <c r="P89" s="998">
        <v>13801</v>
      </c>
      <c r="Q89" s="998">
        <v>119715</v>
      </c>
      <c r="R89" s="999">
        <v>133516</v>
      </c>
      <c r="S89" s="1213"/>
      <c r="T89" s="1000" t="s">
        <v>317</v>
      </c>
      <c r="U89" s="997" t="s">
        <v>854</v>
      </c>
      <c r="V89" s="998">
        <v>63714</v>
      </c>
      <c r="W89" s="998">
        <v>17035</v>
      </c>
      <c r="X89" s="998">
        <v>45043</v>
      </c>
      <c r="Y89" s="998">
        <v>0</v>
      </c>
      <c r="Z89" s="998">
        <v>0</v>
      </c>
      <c r="AA89" s="998">
        <v>1404</v>
      </c>
      <c r="AB89" s="998">
        <v>6320</v>
      </c>
      <c r="AC89" s="998"/>
      <c r="AD89" s="1001">
        <v>133516</v>
      </c>
      <c r="AF89" s="1014"/>
    </row>
    <row r="90" spans="1:32" s="1013" customFormat="1" ht="15.75">
      <c r="A90" s="1217" t="s">
        <v>548</v>
      </c>
      <c r="B90" s="1000" t="s">
        <v>317</v>
      </c>
      <c r="C90" s="997" t="s">
        <v>4</v>
      </c>
      <c r="D90" s="998"/>
      <c r="E90" s="998"/>
      <c r="F90" s="998"/>
      <c r="G90" s="998"/>
      <c r="H90" s="998"/>
      <c r="I90" s="998"/>
      <c r="J90" s="998"/>
      <c r="K90" s="998"/>
      <c r="L90" s="998"/>
      <c r="M90" s="998"/>
      <c r="N90" s="998"/>
      <c r="O90" s="998"/>
      <c r="P90" s="998"/>
      <c r="Q90" s="998">
        <v>0</v>
      </c>
      <c r="R90" s="999">
        <v>0</v>
      </c>
      <c r="S90" s="1224" t="s">
        <v>548</v>
      </c>
      <c r="T90" s="1000" t="s">
        <v>317</v>
      </c>
      <c r="U90" s="997" t="s">
        <v>4</v>
      </c>
      <c r="V90" s="998"/>
      <c r="W90" s="998"/>
      <c r="X90" s="998"/>
      <c r="Y90" s="998"/>
      <c r="Z90" s="998"/>
      <c r="AA90" s="998"/>
      <c r="AB90" s="998"/>
      <c r="AC90" s="998"/>
      <c r="AD90" s="1001">
        <v>0</v>
      </c>
      <c r="AF90" s="1014"/>
    </row>
    <row r="91" spans="1:32" s="1013" customFormat="1" ht="15.75">
      <c r="A91" s="1217"/>
      <c r="B91" s="1000" t="s">
        <v>317</v>
      </c>
      <c r="C91" s="997" t="s">
        <v>852</v>
      </c>
      <c r="D91" s="998">
        <v>26733</v>
      </c>
      <c r="E91" s="998"/>
      <c r="F91" s="998"/>
      <c r="G91" s="998">
        <v>17978</v>
      </c>
      <c r="H91" s="998"/>
      <c r="I91" s="998">
        <v>11200</v>
      </c>
      <c r="J91" s="998"/>
      <c r="K91" s="998"/>
      <c r="L91" s="998"/>
      <c r="M91" s="998"/>
      <c r="N91" s="998">
        <v>63330</v>
      </c>
      <c r="O91" s="998"/>
      <c r="P91" s="998">
        <v>143461</v>
      </c>
      <c r="Q91" s="998">
        <v>119241</v>
      </c>
      <c r="R91" s="999">
        <v>262702</v>
      </c>
      <c r="S91" s="1224"/>
      <c r="T91" s="1000" t="s">
        <v>317</v>
      </c>
      <c r="U91" s="997" t="s">
        <v>852</v>
      </c>
      <c r="V91" s="998">
        <v>101380</v>
      </c>
      <c r="W91" s="998">
        <v>29007</v>
      </c>
      <c r="X91" s="998">
        <v>103572</v>
      </c>
      <c r="Y91" s="998"/>
      <c r="Z91" s="998"/>
      <c r="AA91" s="998"/>
      <c r="AB91" s="998">
        <v>23743</v>
      </c>
      <c r="AC91" s="998">
        <v>5000</v>
      </c>
      <c r="AD91" s="1001">
        <v>262702</v>
      </c>
      <c r="AF91" s="1014"/>
    </row>
    <row r="92" spans="1:32" s="1013" customFormat="1" ht="15.75">
      <c r="A92" s="1217"/>
      <c r="B92" s="1000" t="s">
        <v>317</v>
      </c>
      <c r="C92" s="997" t="s">
        <v>853</v>
      </c>
      <c r="D92" s="998">
        <v>26733</v>
      </c>
      <c r="E92" s="998"/>
      <c r="F92" s="998">
        <v>94</v>
      </c>
      <c r="G92" s="998">
        <v>17978</v>
      </c>
      <c r="H92" s="998">
        <v>3249</v>
      </c>
      <c r="I92" s="998">
        <v>11200</v>
      </c>
      <c r="J92" s="998">
        <v>900</v>
      </c>
      <c r="K92" s="998"/>
      <c r="L92" s="998"/>
      <c r="M92" s="998"/>
      <c r="N92" s="998">
        <v>63330</v>
      </c>
      <c r="O92" s="998"/>
      <c r="P92" s="998">
        <v>147324</v>
      </c>
      <c r="Q92" s="998">
        <v>123484</v>
      </c>
      <c r="R92" s="999">
        <v>270808</v>
      </c>
      <c r="S92" s="1224"/>
      <c r="T92" s="1000" t="s">
        <v>317</v>
      </c>
      <c r="U92" s="997" t="s">
        <v>853</v>
      </c>
      <c r="V92" s="998">
        <v>103064</v>
      </c>
      <c r="W92" s="998">
        <v>29435</v>
      </c>
      <c r="X92" s="998">
        <v>105966</v>
      </c>
      <c r="Y92" s="998"/>
      <c r="Z92" s="998"/>
      <c r="AA92" s="998"/>
      <c r="AB92" s="998">
        <v>27343</v>
      </c>
      <c r="AC92" s="998">
        <v>5000</v>
      </c>
      <c r="AD92" s="1001">
        <v>270808</v>
      </c>
      <c r="AF92" s="1014"/>
    </row>
    <row r="93" spans="1:32" s="1013" customFormat="1" ht="15.75">
      <c r="A93" s="1217"/>
      <c r="B93" s="1000" t="s">
        <v>317</v>
      </c>
      <c r="C93" s="997" t="s">
        <v>854</v>
      </c>
      <c r="D93" s="998">
        <v>26733</v>
      </c>
      <c r="E93" s="998"/>
      <c r="F93" s="998">
        <v>129</v>
      </c>
      <c r="G93" s="998">
        <v>17978</v>
      </c>
      <c r="H93" s="998">
        <v>4800</v>
      </c>
      <c r="I93" s="998">
        <v>11200</v>
      </c>
      <c r="J93" s="998">
        <v>900</v>
      </c>
      <c r="K93" s="998"/>
      <c r="L93" s="998"/>
      <c r="M93" s="998"/>
      <c r="N93" s="998">
        <v>63330</v>
      </c>
      <c r="O93" s="998"/>
      <c r="P93" s="998">
        <v>147638</v>
      </c>
      <c r="Q93" s="998">
        <v>125070</v>
      </c>
      <c r="R93" s="999">
        <v>272708</v>
      </c>
      <c r="S93" s="1224"/>
      <c r="T93" s="1000" t="s">
        <v>317</v>
      </c>
      <c r="U93" s="997" t="s">
        <v>854</v>
      </c>
      <c r="V93" s="998">
        <v>104346</v>
      </c>
      <c r="W93" s="998">
        <v>29789</v>
      </c>
      <c r="X93" s="998">
        <v>73430</v>
      </c>
      <c r="Y93" s="998"/>
      <c r="Z93" s="998">
        <v>30000</v>
      </c>
      <c r="AA93" s="998"/>
      <c r="AB93" s="998">
        <v>27343</v>
      </c>
      <c r="AC93" s="998">
        <v>7800</v>
      </c>
      <c r="AD93" s="1001">
        <v>272708</v>
      </c>
      <c r="AF93" s="1014"/>
    </row>
    <row r="94" spans="1:32" s="1013" customFormat="1" ht="15.75">
      <c r="A94" s="1217" t="s">
        <v>877</v>
      </c>
      <c r="B94" s="1224" t="s">
        <v>15</v>
      </c>
      <c r="C94" s="1004" t="s">
        <v>4</v>
      </c>
      <c r="D94" s="999">
        <v>53055</v>
      </c>
      <c r="E94" s="999">
        <v>92312</v>
      </c>
      <c r="F94" s="999"/>
      <c r="G94" s="999">
        <v>46628</v>
      </c>
      <c r="H94" s="999">
        <v>0</v>
      </c>
      <c r="I94" s="999">
        <v>110310</v>
      </c>
      <c r="J94" s="999">
        <v>900</v>
      </c>
      <c r="K94" s="999">
        <v>0</v>
      </c>
      <c r="L94" s="999"/>
      <c r="M94" s="999">
        <v>0</v>
      </c>
      <c r="N94" s="999">
        <v>0</v>
      </c>
      <c r="O94" s="999">
        <v>0</v>
      </c>
      <c r="P94" s="999">
        <v>852082</v>
      </c>
      <c r="Q94" s="999">
        <v>303205</v>
      </c>
      <c r="R94" s="999">
        <v>1155287</v>
      </c>
      <c r="S94" s="1213" t="s">
        <v>877</v>
      </c>
      <c r="T94" s="1224" t="s">
        <v>15</v>
      </c>
      <c r="U94" s="997" t="s">
        <v>4</v>
      </c>
      <c r="V94" s="999">
        <v>453611</v>
      </c>
      <c r="W94" s="999">
        <v>120024</v>
      </c>
      <c r="X94" s="999">
        <v>549085</v>
      </c>
      <c r="Y94" s="999">
        <v>205026</v>
      </c>
      <c r="Z94" s="999">
        <v>0</v>
      </c>
      <c r="AA94" s="999">
        <v>0</v>
      </c>
      <c r="AB94" s="999">
        <v>12903</v>
      </c>
      <c r="AC94" s="999">
        <v>19664</v>
      </c>
      <c r="AD94" s="1005">
        <v>1155287</v>
      </c>
      <c r="AF94" s="1012">
        <v>1155287</v>
      </c>
    </row>
    <row r="95" spans="1:32" ht="15.75">
      <c r="A95" s="1217"/>
      <c r="B95" s="1224"/>
      <c r="C95" s="1004" t="s">
        <v>852</v>
      </c>
      <c r="D95" s="999">
        <v>79908</v>
      </c>
      <c r="E95" s="999">
        <v>92312</v>
      </c>
      <c r="F95" s="999">
        <v>90</v>
      </c>
      <c r="G95" s="999">
        <v>64606</v>
      </c>
      <c r="H95" s="999">
        <v>651</v>
      </c>
      <c r="I95" s="999">
        <v>121510</v>
      </c>
      <c r="J95" s="999">
        <v>900</v>
      </c>
      <c r="K95" s="999">
        <v>0</v>
      </c>
      <c r="L95" s="999">
        <v>1965</v>
      </c>
      <c r="M95" s="999">
        <v>0</v>
      </c>
      <c r="N95" s="999">
        <v>68749</v>
      </c>
      <c r="O95" s="999">
        <v>0</v>
      </c>
      <c r="P95" s="999">
        <v>1005817</v>
      </c>
      <c r="Q95" s="999">
        <v>430691</v>
      </c>
      <c r="R95" s="999">
        <v>1436508</v>
      </c>
      <c r="S95" s="1213"/>
      <c r="T95" s="1224"/>
      <c r="U95" s="997" t="s">
        <v>852</v>
      </c>
      <c r="V95" s="999">
        <v>564739</v>
      </c>
      <c r="W95" s="999">
        <v>151555</v>
      </c>
      <c r="X95" s="999">
        <v>654476</v>
      </c>
      <c r="Y95" s="999">
        <v>205026</v>
      </c>
      <c r="Z95" s="999">
        <v>0</v>
      </c>
      <c r="AA95" s="999">
        <v>1965</v>
      </c>
      <c r="AB95" s="999">
        <v>39909</v>
      </c>
      <c r="AC95" s="999">
        <v>23864</v>
      </c>
      <c r="AD95" s="1005">
        <v>1436508</v>
      </c>
      <c r="AE95" s="1007">
        <v>0</v>
      </c>
      <c r="AF95" s="999">
        <v>0</v>
      </c>
    </row>
    <row r="96" spans="1:32" ht="15.75">
      <c r="A96" s="1217"/>
      <c r="B96" s="1224"/>
      <c r="C96" s="1004" t="s">
        <v>853</v>
      </c>
      <c r="D96" s="999">
        <v>81787</v>
      </c>
      <c r="E96" s="999">
        <v>94111</v>
      </c>
      <c r="F96" s="999">
        <v>184</v>
      </c>
      <c r="G96" s="999">
        <v>66670</v>
      </c>
      <c r="H96" s="999">
        <v>3900</v>
      </c>
      <c r="I96" s="999">
        <v>121510</v>
      </c>
      <c r="J96" s="999">
        <v>1800</v>
      </c>
      <c r="K96" s="999">
        <v>0</v>
      </c>
      <c r="L96" s="999">
        <v>1715</v>
      </c>
      <c r="M96" s="999">
        <v>0</v>
      </c>
      <c r="N96" s="999">
        <v>68749</v>
      </c>
      <c r="O96" s="999">
        <v>0</v>
      </c>
      <c r="P96" s="999">
        <v>1019881</v>
      </c>
      <c r="Q96" s="999">
        <v>440426</v>
      </c>
      <c r="R96" s="999">
        <v>1460307</v>
      </c>
      <c r="S96" s="1213"/>
      <c r="T96" s="1224"/>
      <c r="U96" s="997" t="s">
        <v>853</v>
      </c>
      <c r="V96" s="999">
        <v>572233</v>
      </c>
      <c r="W96" s="999">
        <v>153553</v>
      </c>
      <c r="X96" s="999">
        <v>668071</v>
      </c>
      <c r="Y96" s="999">
        <v>208299</v>
      </c>
      <c r="Z96" s="999">
        <v>0</v>
      </c>
      <c r="AA96" s="999">
        <v>1715</v>
      </c>
      <c r="AB96" s="999">
        <v>45253</v>
      </c>
      <c r="AC96" s="999">
        <v>19482</v>
      </c>
      <c r="AD96" s="1005">
        <v>1460307</v>
      </c>
      <c r="AE96" s="1007">
        <v>0</v>
      </c>
      <c r="AF96" s="999">
        <v>0</v>
      </c>
    </row>
    <row r="97" spans="1:32" ht="15.75">
      <c r="A97" s="1217"/>
      <c r="B97" s="1224"/>
      <c r="C97" s="1004" t="s">
        <v>854</v>
      </c>
      <c r="D97" s="999">
        <v>82258</v>
      </c>
      <c r="E97" s="999">
        <v>94111</v>
      </c>
      <c r="F97" s="999">
        <v>219</v>
      </c>
      <c r="G97" s="999">
        <v>67111</v>
      </c>
      <c r="H97" s="999">
        <v>5508</v>
      </c>
      <c r="I97" s="999">
        <v>121510</v>
      </c>
      <c r="J97" s="999">
        <v>1800</v>
      </c>
      <c r="K97" s="999">
        <v>6000</v>
      </c>
      <c r="L97" s="999">
        <v>1715</v>
      </c>
      <c r="M97" s="999">
        <v>0</v>
      </c>
      <c r="N97" s="999">
        <v>68749</v>
      </c>
      <c r="O97" s="999">
        <v>0</v>
      </c>
      <c r="P97" s="999">
        <v>1020340</v>
      </c>
      <c r="Q97" s="999">
        <v>448981</v>
      </c>
      <c r="R97" s="999">
        <v>1469321</v>
      </c>
      <c r="S97" s="1213"/>
      <c r="T97" s="1224"/>
      <c r="U97" s="997" t="s">
        <v>854</v>
      </c>
      <c r="V97" s="999">
        <v>573836</v>
      </c>
      <c r="W97" s="999">
        <v>155104</v>
      </c>
      <c r="X97" s="999">
        <v>641581</v>
      </c>
      <c r="Y97" s="999">
        <v>208299</v>
      </c>
      <c r="Z97" s="999">
        <v>30000</v>
      </c>
      <c r="AA97" s="999">
        <v>1715</v>
      </c>
      <c r="AB97" s="999">
        <v>48228</v>
      </c>
      <c r="AC97" s="999">
        <v>18857</v>
      </c>
      <c r="AD97" s="1005">
        <v>1469321</v>
      </c>
      <c r="AE97" s="1007"/>
      <c r="AF97" s="999"/>
    </row>
    <row r="98" spans="1:30" ht="15.75" customHeight="1">
      <c r="A98" s="1217" t="s">
        <v>878</v>
      </c>
      <c r="B98" s="1220" t="s">
        <v>428</v>
      </c>
      <c r="C98" s="1004" t="s">
        <v>4</v>
      </c>
      <c r="D98" s="873">
        <v>52689</v>
      </c>
      <c r="E98" s="873">
        <v>92312</v>
      </c>
      <c r="F98" s="873"/>
      <c r="G98" s="873">
        <v>36610</v>
      </c>
      <c r="H98" s="873">
        <v>0</v>
      </c>
      <c r="I98" s="873">
        <v>110310</v>
      </c>
      <c r="J98" s="873">
        <v>900</v>
      </c>
      <c r="K98" s="873">
        <v>0</v>
      </c>
      <c r="L98" s="873"/>
      <c r="M98" s="873">
        <v>0</v>
      </c>
      <c r="N98" s="873">
        <v>0</v>
      </c>
      <c r="O98" s="873">
        <v>0</v>
      </c>
      <c r="P98" s="873">
        <v>823774</v>
      </c>
      <c r="Q98" s="873">
        <v>292821</v>
      </c>
      <c r="R98" s="873">
        <v>1116595</v>
      </c>
      <c r="S98" s="1213" t="s">
        <v>878</v>
      </c>
      <c r="T98" s="1220" t="s">
        <v>428</v>
      </c>
      <c r="U98" s="997" t="s">
        <v>4</v>
      </c>
      <c r="V98" s="873">
        <v>434627</v>
      </c>
      <c r="W98" s="1015">
        <v>115028</v>
      </c>
      <c r="X98" s="873">
        <v>534373</v>
      </c>
      <c r="Y98" s="873">
        <v>205026</v>
      </c>
      <c r="Z98" s="873">
        <v>0</v>
      </c>
      <c r="AA98" s="873">
        <v>0</v>
      </c>
      <c r="AB98" s="873">
        <v>12903</v>
      </c>
      <c r="AC98" s="873">
        <v>19664</v>
      </c>
      <c r="AD98" s="1016">
        <v>1116595</v>
      </c>
    </row>
    <row r="99" spans="1:32" ht="15.75">
      <c r="A99" s="1217"/>
      <c r="B99" s="1220"/>
      <c r="C99" s="997" t="s">
        <v>852</v>
      </c>
      <c r="D99" s="873">
        <v>79542</v>
      </c>
      <c r="E99" s="873">
        <v>92312</v>
      </c>
      <c r="F99" s="873">
        <v>48</v>
      </c>
      <c r="G99" s="873">
        <v>54588</v>
      </c>
      <c r="H99" s="873">
        <v>651</v>
      </c>
      <c r="I99" s="873">
        <v>121510</v>
      </c>
      <c r="J99" s="873">
        <v>900</v>
      </c>
      <c r="K99" s="873">
        <v>0</v>
      </c>
      <c r="L99" s="873">
        <v>1965</v>
      </c>
      <c r="M99" s="873">
        <v>0</v>
      </c>
      <c r="N99" s="873">
        <v>67119</v>
      </c>
      <c r="O99" s="873">
        <v>0</v>
      </c>
      <c r="P99" s="873">
        <v>974791</v>
      </c>
      <c r="Q99" s="873">
        <v>418635</v>
      </c>
      <c r="R99" s="873">
        <v>1393426</v>
      </c>
      <c r="S99" s="1213"/>
      <c r="T99" s="1220"/>
      <c r="U99" s="997" t="s">
        <v>852</v>
      </c>
      <c r="V99" s="873">
        <v>542608</v>
      </c>
      <c r="W99" s="873">
        <v>145718</v>
      </c>
      <c r="X99" s="873">
        <v>639812</v>
      </c>
      <c r="Y99" s="873">
        <v>205026</v>
      </c>
      <c r="Z99" s="873">
        <v>0</v>
      </c>
      <c r="AA99" s="873">
        <v>1715</v>
      </c>
      <c r="AB99" s="873">
        <v>39709</v>
      </c>
      <c r="AC99" s="873">
        <v>23864</v>
      </c>
      <c r="AD99" s="1016">
        <v>1393426</v>
      </c>
      <c r="AE99" s="1015">
        <v>0</v>
      </c>
      <c r="AF99" s="873">
        <v>0</v>
      </c>
    </row>
    <row r="100" spans="1:32" ht="15.75">
      <c r="A100" s="1217"/>
      <c r="B100" s="1224"/>
      <c r="C100" s="997" t="s">
        <v>853</v>
      </c>
      <c r="D100" s="873">
        <v>81421</v>
      </c>
      <c r="E100" s="873">
        <v>94111</v>
      </c>
      <c r="F100" s="873">
        <v>142</v>
      </c>
      <c r="G100" s="873">
        <v>55095</v>
      </c>
      <c r="H100" s="873">
        <v>3900</v>
      </c>
      <c r="I100" s="873">
        <v>121510</v>
      </c>
      <c r="J100" s="873">
        <v>1800</v>
      </c>
      <c r="K100" s="873">
        <v>0</v>
      </c>
      <c r="L100" s="873">
        <v>1715</v>
      </c>
      <c r="M100" s="873">
        <v>0</v>
      </c>
      <c r="N100" s="873">
        <v>67369</v>
      </c>
      <c r="O100" s="873">
        <v>0</v>
      </c>
      <c r="P100" s="873">
        <v>988658</v>
      </c>
      <c r="Q100" s="873">
        <v>427063</v>
      </c>
      <c r="R100" s="873">
        <v>1415721</v>
      </c>
      <c r="S100" s="1213"/>
      <c r="T100" s="1220"/>
      <c r="U100" s="997" t="s">
        <v>853</v>
      </c>
      <c r="V100" s="873">
        <v>549947</v>
      </c>
      <c r="W100" s="873">
        <v>147674</v>
      </c>
      <c r="X100" s="873">
        <v>652248</v>
      </c>
      <c r="Y100" s="873">
        <v>208299</v>
      </c>
      <c r="Z100" s="873">
        <v>0</v>
      </c>
      <c r="AA100" s="873">
        <v>1715</v>
      </c>
      <c r="AB100" s="873">
        <v>44655</v>
      </c>
      <c r="AC100" s="873">
        <v>19482</v>
      </c>
      <c r="AD100" s="1016">
        <v>1415721</v>
      </c>
      <c r="AE100" s="1017"/>
      <c r="AF100" s="1017"/>
    </row>
    <row r="101" spans="1:32" ht="15.75">
      <c r="A101" s="1217"/>
      <c r="B101" s="1224"/>
      <c r="C101" s="997" t="s">
        <v>854</v>
      </c>
      <c r="D101" s="873">
        <v>81892</v>
      </c>
      <c r="E101" s="873">
        <v>94111</v>
      </c>
      <c r="F101" s="873">
        <v>177</v>
      </c>
      <c r="G101" s="873">
        <v>55536</v>
      </c>
      <c r="H101" s="873">
        <v>5508</v>
      </c>
      <c r="I101" s="873">
        <v>121510</v>
      </c>
      <c r="J101" s="873">
        <v>1800</v>
      </c>
      <c r="K101" s="873">
        <v>6000</v>
      </c>
      <c r="L101" s="873">
        <v>1715</v>
      </c>
      <c r="M101" s="873">
        <v>0</v>
      </c>
      <c r="N101" s="873">
        <v>67369</v>
      </c>
      <c r="O101" s="873">
        <v>0</v>
      </c>
      <c r="P101" s="873">
        <v>988962</v>
      </c>
      <c r="Q101" s="873">
        <v>435618</v>
      </c>
      <c r="R101" s="873">
        <v>1424580</v>
      </c>
      <c r="S101" s="1213"/>
      <c r="T101" s="1220"/>
      <c r="U101" s="997" t="s">
        <v>854</v>
      </c>
      <c r="V101" s="873">
        <v>551416</v>
      </c>
      <c r="W101" s="873">
        <v>149172</v>
      </c>
      <c r="X101" s="873">
        <v>626300</v>
      </c>
      <c r="Y101" s="873">
        <v>208299</v>
      </c>
      <c r="Z101" s="873">
        <v>30000</v>
      </c>
      <c r="AA101" s="873">
        <v>1715</v>
      </c>
      <c r="AB101" s="873">
        <v>47120</v>
      </c>
      <c r="AC101" s="873">
        <v>18857</v>
      </c>
      <c r="AD101" s="1016">
        <v>1424580</v>
      </c>
      <c r="AE101" s="1017"/>
      <c r="AF101" s="1017"/>
    </row>
    <row r="102" spans="1:30" ht="15.75" customHeight="1">
      <c r="A102" s="1217" t="s">
        <v>879</v>
      </c>
      <c r="B102" s="1220" t="s">
        <v>873</v>
      </c>
      <c r="C102" s="1004" t="s">
        <v>4</v>
      </c>
      <c r="D102" s="873">
        <v>366</v>
      </c>
      <c r="E102" s="873">
        <v>0</v>
      </c>
      <c r="F102" s="873"/>
      <c r="G102" s="873">
        <v>10018</v>
      </c>
      <c r="H102" s="873">
        <v>0</v>
      </c>
      <c r="I102" s="873">
        <v>0</v>
      </c>
      <c r="J102" s="873">
        <v>0</v>
      </c>
      <c r="K102" s="873">
        <v>0</v>
      </c>
      <c r="L102" s="873"/>
      <c r="M102" s="873">
        <v>0</v>
      </c>
      <c r="N102" s="873">
        <v>0</v>
      </c>
      <c r="O102" s="873">
        <v>0</v>
      </c>
      <c r="P102" s="873">
        <v>28308</v>
      </c>
      <c r="Q102" s="873">
        <v>10384</v>
      </c>
      <c r="R102" s="873">
        <v>38692</v>
      </c>
      <c r="S102" s="1213" t="s">
        <v>879</v>
      </c>
      <c r="T102" s="1220" t="s">
        <v>873</v>
      </c>
      <c r="U102" s="997" t="s">
        <v>4</v>
      </c>
      <c r="V102" s="873">
        <v>18984</v>
      </c>
      <c r="W102" s="873">
        <v>4996</v>
      </c>
      <c r="X102" s="873">
        <v>14712</v>
      </c>
      <c r="Y102" s="873">
        <v>0</v>
      </c>
      <c r="Z102" s="873">
        <v>0</v>
      </c>
      <c r="AA102" s="873">
        <v>0</v>
      </c>
      <c r="AB102" s="873">
        <v>0</v>
      </c>
      <c r="AC102" s="873">
        <v>0</v>
      </c>
      <c r="AD102" s="1016">
        <v>38692</v>
      </c>
    </row>
    <row r="103" spans="1:30" ht="15.75">
      <c r="A103" s="1217"/>
      <c r="B103" s="1220"/>
      <c r="C103" s="997" t="s">
        <v>852</v>
      </c>
      <c r="D103" s="873">
        <v>366</v>
      </c>
      <c r="E103" s="873">
        <v>0</v>
      </c>
      <c r="F103" s="873">
        <v>42</v>
      </c>
      <c r="G103" s="873">
        <v>10018</v>
      </c>
      <c r="H103" s="873">
        <v>0</v>
      </c>
      <c r="I103" s="873">
        <v>0</v>
      </c>
      <c r="J103" s="873">
        <v>0</v>
      </c>
      <c r="K103" s="873">
        <v>0</v>
      </c>
      <c r="L103" s="873">
        <v>0</v>
      </c>
      <c r="M103" s="873">
        <v>0</v>
      </c>
      <c r="N103" s="873">
        <v>1630</v>
      </c>
      <c r="O103" s="873">
        <v>0</v>
      </c>
      <c r="P103" s="873">
        <v>31026</v>
      </c>
      <c r="Q103" s="873">
        <v>12056</v>
      </c>
      <c r="R103" s="873">
        <v>43082</v>
      </c>
      <c r="S103" s="1213"/>
      <c r="T103" s="1213"/>
      <c r="U103" s="997" t="s">
        <v>852</v>
      </c>
      <c r="V103" s="873">
        <v>22131</v>
      </c>
      <c r="W103" s="873">
        <v>5837</v>
      </c>
      <c r="X103" s="873">
        <v>14664</v>
      </c>
      <c r="Y103" s="873">
        <v>0</v>
      </c>
      <c r="Z103" s="873">
        <v>0</v>
      </c>
      <c r="AA103" s="873">
        <v>250</v>
      </c>
      <c r="AB103" s="873">
        <v>200</v>
      </c>
      <c r="AC103" s="873">
        <v>0</v>
      </c>
      <c r="AD103" s="1016">
        <v>43082</v>
      </c>
    </row>
    <row r="104" spans="1:30" ht="15.75">
      <c r="A104" s="1217"/>
      <c r="B104" s="1220"/>
      <c r="C104" s="997" t="s">
        <v>853</v>
      </c>
      <c r="D104" s="873">
        <v>366</v>
      </c>
      <c r="E104" s="873">
        <v>0</v>
      </c>
      <c r="F104" s="873">
        <v>42</v>
      </c>
      <c r="G104" s="873">
        <v>11575</v>
      </c>
      <c r="H104" s="873">
        <v>0</v>
      </c>
      <c r="I104" s="873">
        <v>0</v>
      </c>
      <c r="J104" s="873">
        <v>0</v>
      </c>
      <c r="K104" s="873">
        <v>0</v>
      </c>
      <c r="L104" s="873">
        <v>0</v>
      </c>
      <c r="M104" s="873">
        <v>0</v>
      </c>
      <c r="N104" s="873">
        <v>1380</v>
      </c>
      <c r="O104" s="873">
        <v>0</v>
      </c>
      <c r="P104" s="873">
        <v>31223</v>
      </c>
      <c r="Q104" s="873">
        <v>13363</v>
      </c>
      <c r="R104" s="873">
        <v>44586</v>
      </c>
      <c r="S104" s="1213"/>
      <c r="T104" s="1213"/>
      <c r="U104" s="997" t="s">
        <v>853</v>
      </c>
      <c r="V104" s="873">
        <v>22286</v>
      </c>
      <c r="W104" s="873">
        <v>5879</v>
      </c>
      <c r="X104" s="873">
        <v>15823</v>
      </c>
      <c r="Y104" s="873">
        <v>0</v>
      </c>
      <c r="Z104" s="873">
        <v>0</v>
      </c>
      <c r="AA104" s="873">
        <v>0</v>
      </c>
      <c r="AB104" s="873">
        <v>598</v>
      </c>
      <c r="AC104" s="873">
        <v>0</v>
      </c>
      <c r="AD104" s="1016">
        <v>44586</v>
      </c>
    </row>
    <row r="105" spans="1:30" ht="16.5" thickBot="1">
      <c r="A105" s="1217"/>
      <c r="B105" s="1232"/>
      <c r="C105" s="1008" t="s">
        <v>854</v>
      </c>
      <c r="D105" s="1018">
        <v>366</v>
      </c>
      <c r="E105" s="1018">
        <v>0</v>
      </c>
      <c r="F105" s="1018">
        <v>42</v>
      </c>
      <c r="G105" s="1018">
        <v>11575</v>
      </c>
      <c r="H105" s="1018">
        <v>0</v>
      </c>
      <c r="I105" s="1018">
        <v>0</v>
      </c>
      <c r="J105" s="1018">
        <v>0</v>
      </c>
      <c r="K105" s="1018">
        <v>0</v>
      </c>
      <c r="L105" s="1018">
        <v>0</v>
      </c>
      <c r="M105" s="1018">
        <v>0</v>
      </c>
      <c r="N105" s="1018">
        <v>1380</v>
      </c>
      <c r="O105" s="1018">
        <v>0</v>
      </c>
      <c r="P105" s="1018">
        <v>31378</v>
      </c>
      <c r="Q105" s="1018">
        <v>13363</v>
      </c>
      <c r="R105" s="1018">
        <v>44741</v>
      </c>
      <c r="S105" s="1233"/>
      <c r="T105" s="1233"/>
      <c r="U105" s="1008" t="s">
        <v>854</v>
      </c>
      <c r="V105" s="1018">
        <v>22420</v>
      </c>
      <c r="W105" s="1018">
        <v>5932</v>
      </c>
      <c r="X105" s="1018">
        <v>15281</v>
      </c>
      <c r="Y105" s="1018">
        <v>0</v>
      </c>
      <c r="Z105" s="1018">
        <v>0</v>
      </c>
      <c r="AA105" s="1018">
        <v>0</v>
      </c>
      <c r="AB105" s="1018">
        <v>1108</v>
      </c>
      <c r="AC105" s="1018">
        <v>0</v>
      </c>
      <c r="AD105" s="1019">
        <v>44741</v>
      </c>
    </row>
  </sheetData>
  <sheetProtection/>
  <mergeCells count="76">
    <mergeCell ref="S1:AD1"/>
    <mergeCell ref="T2:T3"/>
    <mergeCell ref="S2:S3"/>
    <mergeCell ref="AD2:AD3"/>
    <mergeCell ref="T78:T81"/>
    <mergeCell ref="A102:A105"/>
    <mergeCell ref="B102:B105"/>
    <mergeCell ref="S102:S105"/>
    <mergeCell ref="T102:T105"/>
    <mergeCell ref="A94:A97"/>
    <mergeCell ref="B94:B97"/>
    <mergeCell ref="S94:S97"/>
    <mergeCell ref="T94:T97"/>
    <mergeCell ref="A98:A101"/>
    <mergeCell ref="B98:B101"/>
    <mergeCell ref="S98:S101"/>
    <mergeCell ref="T98:T101"/>
    <mergeCell ref="A82:A85"/>
    <mergeCell ref="S82:S85"/>
    <mergeCell ref="A86:A89"/>
    <mergeCell ref="S86:S89"/>
    <mergeCell ref="A90:A93"/>
    <mergeCell ref="S90:S93"/>
    <mergeCell ref="A74:A77"/>
    <mergeCell ref="B74:B77"/>
    <mergeCell ref="S74:S77"/>
    <mergeCell ref="T74:T77"/>
    <mergeCell ref="A78:A81"/>
    <mergeCell ref="S78:S81"/>
    <mergeCell ref="B78:B81"/>
    <mergeCell ref="A64:A67"/>
    <mergeCell ref="S64:S67"/>
    <mergeCell ref="A68:A71"/>
    <mergeCell ref="S68:S71"/>
    <mergeCell ref="A72:A73"/>
    <mergeCell ref="S72:S73"/>
    <mergeCell ref="A52:A55"/>
    <mergeCell ref="S52:S55"/>
    <mergeCell ref="A56:A59"/>
    <mergeCell ref="S56:S59"/>
    <mergeCell ref="A60:A63"/>
    <mergeCell ref="S60:S63"/>
    <mergeCell ref="A40:A43"/>
    <mergeCell ref="S40:S43"/>
    <mergeCell ref="A44:A47"/>
    <mergeCell ref="S44:S47"/>
    <mergeCell ref="A48:A51"/>
    <mergeCell ref="S48:S51"/>
    <mergeCell ref="A28:A31"/>
    <mergeCell ref="S28:S31"/>
    <mergeCell ref="A32:A35"/>
    <mergeCell ref="S32:S35"/>
    <mergeCell ref="A36:A39"/>
    <mergeCell ref="S36:S39"/>
    <mergeCell ref="A16:A19"/>
    <mergeCell ref="S16:S19"/>
    <mergeCell ref="A20:A23"/>
    <mergeCell ref="S20:S23"/>
    <mergeCell ref="A24:A27"/>
    <mergeCell ref="S24:S27"/>
    <mergeCell ref="A4:A7"/>
    <mergeCell ref="S4:S7"/>
    <mergeCell ref="A8:A11"/>
    <mergeCell ref="S8:S11"/>
    <mergeCell ref="A12:A15"/>
    <mergeCell ref="S12:S15"/>
    <mergeCell ref="A1:R1"/>
    <mergeCell ref="A2:A3"/>
    <mergeCell ref="B2:B3"/>
    <mergeCell ref="C2:C3"/>
    <mergeCell ref="D2:G2"/>
    <mergeCell ref="H2:K2"/>
    <mergeCell ref="M2:M3"/>
    <mergeCell ref="N2:O2"/>
    <mergeCell ref="Q2:Q3"/>
    <mergeCell ref="R2:R3"/>
  </mergeCells>
  <printOptions horizontalCentered="1"/>
  <pageMargins left="0.7874015748031497" right="0.7874015748031497" top="0.9448818897637796" bottom="0.984251968503937" header="0.35433070866141736" footer="0.5118110236220472"/>
  <pageSetup horizontalDpi="600" verticalDpi="600" orientation="landscape" paperSize="9" scale="50" r:id="rId1"/>
  <headerFooter alignWithMargins="0">
    <oddHeader>&amp;L6. melléklet a 28/2015.(XII.18.)   önkormányzati rendelethez
6. melléklet az 1/2015.(I.30.) önkormányzati rendelethez</oddHeader>
  </headerFooter>
  <rowBreaks count="1" manualBreakCount="1">
    <brk id="55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98" zoomScaleSheetLayoutView="98" workbookViewId="0" topLeftCell="A1">
      <selection activeCell="E49" sqref="E49"/>
    </sheetView>
  </sheetViews>
  <sheetFormatPr defaultColWidth="9.00390625" defaultRowHeight="12.75"/>
  <cols>
    <col min="1" max="1" width="16.625" style="65" customWidth="1"/>
    <col min="2" max="2" width="12.00390625" style="65" customWidth="1"/>
    <col min="3" max="3" width="9.00390625" style="65" customWidth="1"/>
    <col min="4" max="4" width="8.875" style="65" customWidth="1"/>
    <col min="5" max="5" width="7.625" style="65" customWidth="1"/>
    <col min="6" max="6" width="10.625" style="65" customWidth="1"/>
    <col min="7" max="7" width="9.25390625" style="65" customWidth="1"/>
    <col min="8" max="8" width="13.625" style="65" customWidth="1"/>
    <col min="9" max="9" width="9.375" style="65" customWidth="1"/>
    <col min="10" max="10" width="10.625" style="65" customWidth="1"/>
    <col min="11" max="11" width="12.75390625" style="65" customWidth="1"/>
    <col min="12" max="12" width="11.00390625" style="65" customWidth="1"/>
    <col min="13" max="13" width="8.375" style="65" customWidth="1"/>
    <col min="14" max="14" width="13.75390625" style="65" customWidth="1"/>
    <col min="15" max="15" width="12.125" style="65" customWidth="1"/>
    <col min="16" max="17" width="9.125" style="65" hidden="1" customWidth="1"/>
    <col min="18" max="16384" width="9.125" style="65" customWidth="1"/>
  </cols>
  <sheetData>
    <row r="1" spans="1:15" ht="12.75">
      <c r="A1" s="1234"/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</row>
    <row r="2" spans="1:15" ht="12.75">
      <c r="A2" s="1235" t="s">
        <v>234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</row>
    <row r="3" spans="1:15" ht="13.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9.5" customHeight="1">
      <c r="A4" s="1236" t="s">
        <v>429</v>
      </c>
      <c r="B4" s="1237"/>
      <c r="C4" s="1237" t="s">
        <v>430</v>
      </c>
      <c r="D4" s="1237" t="s">
        <v>431</v>
      </c>
      <c r="E4" s="1237"/>
      <c r="F4" s="1237" t="s">
        <v>432</v>
      </c>
      <c r="G4" s="1237" t="s">
        <v>433</v>
      </c>
      <c r="H4" s="1237"/>
      <c r="I4" s="1237" t="s">
        <v>434</v>
      </c>
      <c r="J4" s="1237"/>
      <c r="K4" s="1237" t="s">
        <v>435</v>
      </c>
      <c r="L4" s="1237" t="s">
        <v>261</v>
      </c>
      <c r="M4" s="1237"/>
      <c r="N4" s="1237" t="s">
        <v>436</v>
      </c>
      <c r="O4" s="1240" t="s">
        <v>422</v>
      </c>
    </row>
    <row r="5" spans="1:15" ht="21">
      <c r="A5" s="1238"/>
      <c r="B5" s="1239"/>
      <c r="C5" s="1239"/>
      <c r="D5" s="229" t="s">
        <v>437</v>
      </c>
      <c r="E5" s="229" t="s">
        <v>424</v>
      </c>
      <c r="F5" s="1239"/>
      <c r="G5" s="229" t="s">
        <v>438</v>
      </c>
      <c r="H5" s="229" t="s">
        <v>439</v>
      </c>
      <c r="I5" s="229" t="s">
        <v>438</v>
      </c>
      <c r="J5" s="229" t="s">
        <v>439</v>
      </c>
      <c r="K5" s="1239"/>
      <c r="L5" s="229" t="s">
        <v>447</v>
      </c>
      <c r="M5" s="229" t="s">
        <v>425</v>
      </c>
      <c r="N5" s="1239"/>
      <c r="O5" s="1241"/>
    </row>
    <row r="6" spans="1:15" ht="12.75">
      <c r="A6" s="234" t="s">
        <v>440</v>
      </c>
      <c r="B6" s="230" t="s">
        <v>4</v>
      </c>
      <c r="C6" s="231">
        <v>15980</v>
      </c>
      <c r="D6" s="231"/>
      <c r="E6" s="231">
        <v>11267</v>
      </c>
      <c r="F6" s="231"/>
      <c r="G6" s="231"/>
      <c r="H6" s="231"/>
      <c r="I6" s="231">
        <v>11200</v>
      </c>
      <c r="J6" s="231"/>
      <c r="K6" s="231"/>
      <c r="L6" s="231"/>
      <c r="M6" s="231"/>
      <c r="N6" s="231">
        <v>145814</v>
      </c>
      <c r="O6" s="235">
        <f>C6+I6+N6</f>
        <v>172994</v>
      </c>
    </row>
    <row r="7" spans="1:15" ht="14.25" customHeight="1">
      <c r="A7" s="234"/>
      <c r="B7" s="228" t="s">
        <v>733</v>
      </c>
      <c r="C7" s="231">
        <v>0</v>
      </c>
      <c r="D7" s="231"/>
      <c r="E7" s="231">
        <v>0</v>
      </c>
      <c r="F7" s="231"/>
      <c r="G7" s="231"/>
      <c r="H7" s="231"/>
      <c r="I7" s="231">
        <v>0</v>
      </c>
      <c r="J7" s="231"/>
      <c r="K7" s="231"/>
      <c r="L7" s="231"/>
      <c r="M7" s="231"/>
      <c r="N7" s="231">
        <v>0</v>
      </c>
      <c r="O7" s="235">
        <v>0</v>
      </c>
    </row>
    <row r="8" spans="1:15" ht="14.25" customHeight="1">
      <c r="A8" s="234"/>
      <c r="B8" s="228" t="s">
        <v>799</v>
      </c>
      <c r="C8" s="231">
        <v>0</v>
      </c>
      <c r="D8" s="231"/>
      <c r="E8" s="231">
        <v>0</v>
      </c>
      <c r="F8" s="231"/>
      <c r="G8" s="231"/>
      <c r="H8" s="231"/>
      <c r="I8" s="231">
        <v>0</v>
      </c>
      <c r="J8" s="231"/>
      <c r="K8" s="231"/>
      <c r="L8" s="231"/>
      <c r="M8" s="231"/>
      <c r="N8" s="231">
        <v>0</v>
      </c>
      <c r="O8" s="235">
        <v>0</v>
      </c>
    </row>
    <row r="9" spans="1:15" ht="12.75">
      <c r="A9" s="234" t="s">
        <v>441</v>
      </c>
      <c r="B9" s="230" t="s">
        <v>4</v>
      </c>
      <c r="C9" s="231">
        <v>0</v>
      </c>
      <c r="D9" s="231"/>
      <c r="E9" s="231"/>
      <c r="F9" s="231"/>
      <c r="G9" s="231"/>
      <c r="H9" s="231"/>
      <c r="I9" s="231">
        <v>0</v>
      </c>
      <c r="J9" s="231"/>
      <c r="K9" s="231"/>
      <c r="L9" s="231"/>
      <c r="M9" s="231"/>
      <c r="N9" s="231">
        <v>0</v>
      </c>
      <c r="O9" s="235">
        <f aca="true" t="shared" si="0" ref="O9:O15">C9+N9</f>
        <v>0</v>
      </c>
    </row>
    <row r="10" spans="1:15" ht="12.75">
      <c r="A10" s="234"/>
      <c r="B10" s="228" t="s">
        <v>733</v>
      </c>
      <c r="C10" s="231">
        <v>0</v>
      </c>
      <c r="D10" s="231"/>
      <c r="E10" s="231"/>
      <c r="F10" s="231"/>
      <c r="G10" s="231"/>
      <c r="H10" s="231"/>
      <c r="I10" s="231">
        <v>0</v>
      </c>
      <c r="J10" s="231"/>
      <c r="K10" s="231"/>
      <c r="L10" s="231"/>
      <c r="M10" s="231"/>
      <c r="N10" s="231">
        <v>0</v>
      </c>
      <c r="O10" s="235">
        <v>0</v>
      </c>
    </row>
    <row r="11" spans="1:15" ht="12.75">
      <c r="A11" s="234"/>
      <c r="B11" s="228" t="s">
        <v>799</v>
      </c>
      <c r="C11" s="231">
        <v>0</v>
      </c>
      <c r="D11" s="231"/>
      <c r="E11" s="231"/>
      <c r="F11" s="231"/>
      <c r="G11" s="231"/>
      <c r="H11" s="231"/>
      <c r="I11" s="231">
        <v>0</v>
      </c>
      <c r="J11" s="231"/>
      <c r="K11" s="231"/>
      <c r="L11" s="231"/>
      <c r="M11" s="231"/>
      <c r="N11" s="231">
        <v>0</v>
      </c>
      <c r="O11" s="235">
        <v>0</v>
      </c>
    </row>
    <row r="12" spans="1:15" ht="12.75">
      <c r="A12" s="234" t="s">
        <v>442</v>
      </c>
      <c r="B12" s="230" t="s">
        <v>4</v>
      </c>
      <c r="C12" s="231">
        <v>0</v>
      </c>
      <c r="D12" s="231"/>
      <c r="E12" s="231"/>
      <c r="F12" s="231"/>
      <c r="G12" s="231"/>
      <c r="H12" s="231"/>
      <c r="I12" s="231">
        <v>0</v>
      </c>
      <c r="J12" s="231"/>
      <c r="K12" s="231"/>
      <c r="L12" s="231"/>
      <c r="M12" s="231"/>
      <c r="N12" s="231">
        <v>0</v>
      </c>
      <c r="O12" s="235">
        <f t="shared" si="0"/>
        <v>0</v>
      </c>
    </row>
    <row r="13" spans="1:15" ht="12.75">
      <c r="A13" s="234"/>
      <c r="B13" s="228" t="s">
        <v>733</v>
      </c>
      <c r="C13" s="231">
        <v>0</v>
      </c>
      <c r="D13" s="231"/>
      <c r="E13" s="231"/>
      <c r="F13" s="231"/>
      <c r="G13" s="231"/>
      <c r="H13" s="231"/>
      <c r="I13" s="231">
        <v>0</v>
      </c>
      <c r="J13" s="231"/>
      <c r="K13" s="231"/>
      <c r="L13" s="231"/>
      <c r="M13" s="231"/>
      <c r="N13" s="231">
        <v>0</v>
      </c>
      <c r="O13" s="235">
        <v>0</v>
      </c>
    </row>
    <row r="14" spans="1:15" ht="12.75">
      <c r="A14" s="234"/>
      <c r="B14" s="228" t="s">
        <v>799</v>
      </c>
      <c r="C14" s="231">
        <v>0</v>
      </c>
      <c r="D14" s="231"/>
      <c r="E14" s="231"/>
      <c r="F14" s="231"/>
      <c r="G14" s="231"/>
      <c r="H14" s="231"/>
      <c r="I14" s="231">
        <v>0</v>
      </c>
      <c r="J14" s="231"/>
      <c r="K14" s="231"/>
      <c r="L14" s="231"/>
      <c r="M14" s="231"/>
      <c r="N14" s="231">
        <v>0</v>
      </c>
      <c r="O14" s="235">
        <v>0</v>
      </c>
    </row>
    <row r="15" spans="1:15" ht="12.75">
      <c r="A15" s="234" t="s">
        <v>443</v>
      </c>
      <c r="B15" s="230" t="s">
        <v>4</v>
      </c>
      <c r="C15" s="231">
        <v>10500</v>
      </c>
      <c r="D15" s="231"/>
      <c r="E15" s="231">
        <v>2835</v>
      </c>
      <c r="F15" s="231"/>
      <c r="G15" s="231"/>
      <c r="H15" s="231"/>
      <c r="I15" s="231">
        <v>0</v>
      </c>
      <c r="J15" s="231"/>
      <c r="K15" s="231"/>
      <c r="L15" s="231"/>
      <c r="M15" s="231"/>
      <c r="N15" s="231">
        <v>0</v>
      </c>
      <c r="O15" s="235">
        <f t="shared" si="0"/>
        <v>10500</v>
      </c>
    </row>
    <row r="16" spans="1:15" ht="12.75">
      <c r="A16" s="234"/>
      <c r="B16" s="228" t="s">
        <v>733</v>
      </c>
      <c r="C16" s="231">
        <v>0</v>
      </c>
      <c r="D16" s="231"/>
      <c r="E16" s="231">
        <v>0</v>
      </c>
      <c r="F16" s="231"/>
      <c r="G16" s="231"/>
      <c r="H16" s="231"/>
      <c r="I16" s="231">
        <v>0</v>
      </c>
      <c r="J16" s="231"/>
      <c r="K16" s="231"/>
      <c r="L16" s="231"/>
      <c r="M16" s="231"/>
      <c r="N16" s="231">
        <v>0</v>
      </c>
      <c r="O16" s="235">
        <v>0</v>
      </c>
    </row>
    <row r="17" spans="1:15" ht="12.75">
      <c r="A17" s="234"/>
      <c r="B17" s="228" t="s">
        <v>799</v>
      </c>
      <c r="C17" s="231">
        <v>0</v>
      </c>
      <c r="D17" s="231"/>
      <c r="E17" s="231">
        <v>0</v>
      </c>
      <c r="F17" s="231"/>
      <c r="G17" s="231"/>
      <c r="H17" s="231"/>
      <c r="I17" s="231">
        <v>0</v>
      </c>
      <c r="J17" s="231"/>
      <c r="K17" s="231"/>
      <c r="L17" s="231"/>
      <c r="M17" s="231"/>
      <c r="N17" s="231">
        <v>0</v>
      </c>
      <c r="O17" s="235">
        <v>0</v>
      </c>
    </row>
    <row r="18" spans="1:15" ht="12.75">
      <c r="A18" s="236" t="s">
        <v>260</v>
      </c>
      <c r="B18" s="232" t="s">
        <v>4</v>
      </c>
      <c r="C18" s="233">
        <f aca="true" t="shared" si="1" ref="C18:O18">SUM(C6+C9+C12+C15)</f>
        <v>26480</v>
      </c>
      <c r="D18" s="233">
        <f t="shared" si="1"/>
        <v>0</v>
      </c>
      <c r="E18" s="233">
        <f t="shared" si="1"/>
        <v>14102</v>
      </c>
      <c r="F18" s="233">
        <f t="shared" si="1"/>
        <v>0</v>
      </c>
      <c r="G18" s="233">
        <f t="shared" si="1"/>
        <v>0</v>
      </c>
      <c r="H18" s="233">
        <f t="shared" si="1"/>
        <v>0</v>
      </c>
      <c r="I18" s="233">
        <f t="shared" si="1"/>
        <v>11200</v>
      </c>
      <c r="J18" s="233">
        <f t="shared" si="1"/>
        <v>0</v>
      </c>
      <c r="K18" s="233">
        <f t="shared" si="1"/>
        <v>0</v>
      </c>
      <c r="L18" s="233">
        <f t="shared" si="1"/>
        <v>0</v>
      </c>
      <c r="M18" s="233">
        <f t="shared" si="1"/>
        <v>0</v>
      </c>
      <c r="N18" s="233">
        <f t="shared" si="1"/>
        <v>145814</v>
      </c>
      <c r="O18" s="237">
        <f t="shared" si="1"/>
        <v>183494</v>
      </c>
    </row>
    <row r="19" spans="1:15" ht="12.75">
      <c r="A19" s="236"/>
      <c r="B19" s="640" t="s">
        <v>733</v>
      </c>
      <c r="C19" s="233">
        <f aca="true" t="shared" si="2" ref="C19:O19">SUM(C7+C10+C13+C16)</f>
        <v>0</v>
      </c>
      <c r="D19" s="233">
        <f t="shared" si="2"/>
        <v>0</v>
      </c>
      <c r="E19" s="233">
        <f t="shared" si="2"/>
        <v>0</v>
      </c>
      <c r="F19" s="233">
        <f t="shared" si="2"/>
        <v>0</v>
      </c>
      <c r="G19" s="233">
        <f t="shared" si="2"/>
        <v>0</v>
      </c>
      <c r="H19" s="233">
        <f t="shared" si="2"/>
        <v>0</v>
      </c>
      <c r="I19" s="233">
        <f t="shared" si="2"/>
        <v>0</v>
      </c>
      <c r="J19" s="233">
        <f t="shared" si="2"/>
        <v>0</v>
      </c>
      <c r="K19" s="233">
        <f t="shared" si="2"/>
        <v>0</v>
      </c>
      <c r="L19" s="233">
        <f t="shared" si="2"/>
        <v>0</v>
      </c>
      <c r="M19" s="233">
        <f t="shared" si="2"/>
        <v>0</v>
      </c>
      <c r="N19" s="233">
        <f t="shared" si="2"/>
        <v>0</v>
      </c>
      <c r="O19" s="237">
        <f t="shared" si="2"/>
        <v>0</v>
      </c>
    </row>
    <row r="20" spans="1:15" ht="12.75">
      <c r="A20" s="236"/>
      <c r="B20" s="640" t="s">
        <v>799</v>
      </c>
      <c r="C20" s="233">
        <v>0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7">
        <v>0</v>
      </c>
    </row>
    <row r="21" spans="1:15" ht="12.75">
      <c r="A21" s="236" t="s">
        <v>428</v>
      </c>
      <c r="B21" s="232" t="s">
        <v>4</v>
      </c>
      <c r="C21" s="233">
        <f aca="true" t="shared" si="3" ref="C21:N21">SUM(C6+C9+C12+C15)</f>
        <v>26480</v>
      </c>
      <c r="D21" s="233">
        <f t="shared" si="3"/>
        <v>0</v>
      </c>
      <c r="E21" s="233">
        <f t="shared" si="3"/>
        <v>14102</v>
      </c>
      <c r="F21" s="233">
        <f t="shared" si="3"/>
        <v>0</v>
      </c>
      <c r="G21" s="233">
        <f t="shared" si="3"/>
        <v>0</v>
      </c>
      <c r="H21" s="233">
        <f t="shared" si="3"/>
        <v>0</v>
      </c>
      <c r="I21" s="233">
        <f t="shared" si="3"/>
        <v>11200</v>
      </c>
      <c r="J21" s="233">
        <f t="shared" si="3"/>
        <v>0</v>
      </c>
      <c r="K21" s="233">
        <f t="shared" si="3"/>
        <v>0</v>
      </c>
      <c r="L21" s="233">
        <f t="shared" si="3"/>
        <v>0</v>
      </c>
      <c r="M21" s="233">
        <f t="shared" si="3"/>
        <v>0</v>
      </c>
      <c r="N21" s="233">
        <f t="shared" si="3"/>
        <v>145814</v>
      </c>
      <c r="O21" s="238">
        <f>O18</f>
        <v>183494</v>
      </c>
    </row>
    <row r="22" spans="1:15" ht="12.75">
      <c r="A22" s="642"/>
      <c r="B22" s="643" t="s">
        <v>733</v>
      </c>
      <c r="C22" s="482">
        <f aca="true" t="shared" si="4" ref="C22:N22">SUM(C7+C10+C13+C16)</f>
        <v>0</v>
      </c>
      <c r="D22" s="482">
        <f t="shared" si="4"/>
        <v>0</v>
      </c>
      <c r="E22" s="482">
        <f t="shared" si="4"/>
        <v>0</v>
      </c>
      <c r="F22" s="482">
        <f t="shared" si="4"/>
        <v>0</v>
      </c>
      <c r="G22" s="482">
        <f t="shared" si="4"/>
        <v>0</v>
      </c>
      <c r="H22" s="482">
        <f t="shared" si="4"/>
        <v>0</v>
      </c>
      <c r="I22" s="482">
        <f t="shared" si="4"/>
        <v>0</v>
      </c>
      <c r="J22" s="482">
        <f t="shared" si="4"/>
        <v>0</v>
      </c>
      <c r="K22" s="482">
        <f t="shared" si="4"/>
        <v>0</v>
      </c>
      <c r="L22" s="482">
        <f t="shared" si="4"/>
        <v>0</v>
      </c>
      <c r="M22" s="482">
        <f t="shared" si="4"/>
        <v>0</v>
      </c>
      <c r="N22" s="482">
        <f t="shared" si="4"/>
        <v>0</v>
      </c>
      <c r="O22" s="485">
        <f>SUM(O7+O10+O13+O16)</f>
        <v>0</v>
      </c>
    </row>
    <row r="23" spans="1:15" ht="13.5" thickBot="1">
      <c r="A23" s="483"/>
      <c r="B23" s="641" t="s">
        <v>799</v>
      </c>
      <c r="C23" s="510">
        <v>0</v>
      </c>
      <c r="D23" s="510">
        <v>0</v>
      </c>
      <c r="E23" s="510">
        <v>0</v>
      </c>
      <c r="F23" s="510">
        <v>0</v>
      </c>
      <c r="G23" s="510">
        <v>0</v>
      </c>
      <c r="H23" s="510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0</v>
      </c>
      <c r="N23" s="510">
        <v>0</v>
      </c>
      <c r="O23" s="511">
        <v>0</v>
      </c>
    </row>
    <row r="24" spans="1:15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1" ht="18.75" customHeight="1">
      <c r="A26" s="1235" t="s">
        <v>235</v>
      </c>
      <c r="B26" s="1235"/>
      <c r="C26" s="1235"/>
      <c r="D26" s="1235"/>
      <c r="E26" s="1235"/>
      <c r="F26" s="1235"/>
      <c r="G26" s="1235"/>
      <c r="H26" s="1235"/>
      <c r="I26" s="1235"/>
      <c r="J26" s="1235"/>
      <c r="K26" s="1235"/>
    </row>
    <row r="27" spans="1:11" ht="18.75" customHeight="1" thickBot="1">
      <c r="A27" s="64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8.75" customHeight="1">
      <c r="A28" s="1236" t="s">
        <v>429</v>
      </c>
      <c r="B28" s="1237"/>
      <c r="C28" s="1242" t="s">
        <v>309</v>
      </c>
      <c r="D28" s="1242"/>
      <c r="E28" s="1242"/>
      <c r="F28" s="1242"/>
      <c r="G28" s="1242"/>
      <c r="H28" s="239"/>
      <c r="I28" s="1242" t="s">
        <v>310</v>
      </c>
      <c r="J28" s="1242"/>
      <c r="K28" s="1240" t="s">
        <v>423</v>
      </c>
    </row>
    <row r="29" spans="1:11" ht="45.75" customHeight="1">
      <c r="A29" s="1238"/>
      <c r="B29" s="1239"/>
      <c r="C29" s="229" t="s">
        <v>264</v>
      </c>
      <c r="D29" s="229" t="s">
        <v>426</v>
      </c>
      <c r="E29" s="229" t="s">
        <v>444</v>
      </c>
      <c r="F29" s="229" t="s">
        <v>445</v>
      </c>
      <c r="G29" s="229" t="s">
        <v>446</v>
      </c>
      <c r="H29" s="229" t="s">
        <v>154</v>
      </c>
      <c r="I29" s="229" t="s">
        <v>276</v>
      </c>
      <c r="J29" s="229" t="s">
        <v>277</v>
      </c>
      <c r="K29" s="1241"/>
    </row>
    <row r="30" spans="1:12" ht="12.75" customHeight="1">
      <c r="A30" s="234" t="s">
        <v>440</v>
      </c>
      <c r="B30" s="230" t="s">
        <v>4</v>
      </c>
      <c r="C30" s="231">
        <v>67529</v>
      </c>
      <c r="D30" s="231">
        <v>19668</v>
      </c>
      <c r="E30" s="231">
        <v>54173</v>
      </c>
      <c r="F30" s="231"/>
      <c r="G30" s="231"/>
      <c r="H30" s="231"/>
      <c r="I30" s="231">
        <v>8382</v>
      </c>
      <c r="J30" s="231"/>
      <c r="K30" s="235">
        <f>SUM(C30:J30)</f>
        <v>149752</v>
      </c>
      <c r="L30" s="68"/>
    </row>
    <row r="31" spans="1:12" ht="12.75" customHeight="1">
      <c r="A31" s="234"/>
      <c r="B31" s="228" t="s">
        <v>733</v>
      </c>
      <c r="C31" s="231">
        <v>0</v>
      </c>
      <c r="D31" s="231">
        <v>0</v>
      </c>
      <c r="E31" s="231">
        <v>0</v>
      </c>
      <c r="F31" s="231"/>
      <c r="G31" s="231"/>
      <c r="H31" s="231"/>
      <c r="I31" s="231">
        <v>0</v>
      </c>
      <c r="J31" s="231"/>
      <c r="K31" s="235">
        <v>0</v>
      </c>
      <c r="L31" s="68"/>
    </row>
    <row r="32" spans="1:12" ht="12.75" customHeight="1">
      <c r="A32" s="234"/>
      <c r="B32" s="228" t="s">
        <v>799</v>
      </c>
      <c r="C32" s="231">
        <v>0</v>
      </c>
      <c r="D32" s="231">
        <v>0</v>
      </c>
      <c r="E32" s="231">
        <v>0</v>
      </c>
      <c r="F32" s="231"/>
      <c r="G32" s="231"/>
      <c r="H32" s="231"/>
      <c r="I32" s="231">
        <v>0</v>
      </c>
      <c r="J32" s="231"/>
      <c r="K32" s="235">
        <v>0</v>
      </c>
      <c r="L32" s="68"/>
    </row>
    <row r="33" spans="1:12" ht="12.75" customHeight="1">
      <c r="A33" s="234" t="s">
        <v>441</v>
      </c>
      <c r="B33" s="230" t="s">
        <v>4</v>
      </c>
      <c r="C33" s="231">
        <v>7879</v>
      </c>
      <c r="D33" s="231">
        <v>2127</v>
      </c>
      <c r="E33" s="231">
        <v>0</v>
      </c>
      <c r="F33" s="231"/>
      <c r="G33" s="231"/>
      <c r="H33" s="231"/>
      <c r="I33" s="231">
        <v>0</v>
      </c>
      <c r="J33" s="231"/>
      <c r="K33" s="235">
        <f>SUM(C33:J33)</f>
        <v>10006</v>
      </c>
      <c r="L33" s="68"/>
    </row>
    <row r="34" spans="1:12" ht="12.75" customHeight="1">
      <c r="A34" s="234"/>
      <c r="B34" s="228" t="s">
        <v>733</v>
      </c>
      <c r="C34" s="231">
        <v>0</v>
      </c>
      <c r="D34" s="231">
        <v>0</v>
      </c>
      <c r="E34" s="231">
        <v>0</v>
      </c>
      <c r="F34" s="231"/>
      <c r="G34" s="231"/>
      <c r="H34" s="231"/>
      <c r="I34" s="231">
        <v>0</v>
      </c>
      <c r="J34" s="231"/>
      <c r="K34" s="235">
        <v>0</v>
      </c>
      <c r="L34" s="68"/>
    </row>
    <row r="35" spans="1:12" ht="12.75" customHeight="1">
      <c r="A35" s="234"/>
      <c r="B35" s="228" t="s">
        <v>799</v>
      </c>
      <c r="C35" s="231">
        <v>0</v>
      </c>
      <c r="D35" s="231">
        <v>0</v>
      </c>
      <c r="E35" s="231">
        <v>0</v>
      </c>
      <c r="F35" s="231"/>
      <c r="G35" s="231"/>
      <c r="H35" s="231"/>
      <c r="I35" s="231">
        <v>0</v>
      </c>
      <c r="J35" s="231"/>
      <c r="K35" s="235">
        <v>0</v>
      </c>
      <c r="L35" s="68"/>
    </row>
    <row r="36" spans="1:12" ht="12.75" customHeight="1">
      <c r="A36" s="234" t="s">
        <v>442</v>
      </c>
      <c r="B36" s="230" t="s">
        <v>4</v>
      </c>
      <c r="C36" s="231">
        <v>0</v>
      </c>
      <c r="D36" s="231">
        <v>0</v>
      </c>
      <c r="E36" s="231">
        <v>0</v>
      </c>
      <c r="F36" s="231"/>
      <c r="G36" s="231"/>
      <c r="H36" s="231"/>
      <c r="I36" s="231">
        <v>0</v>
      </c>
      <c r="J36" s="231"/>
      <c r="K36" s="235">
        <f>SUM(C36:J36)</f>
        <v>0</v>
      </c>
      <c r="L36" s="68"/>
    </row>
    <row r="37" spans="1:12" ht="12.75" customHeight="1">
      <c r="A37" s="234"/>
      <c r="B37" s="228" t="s">
        <v>733</v>
      </c>
      <c r="C37" s="231">
        <v>0</v>
      </c>
      <c r="D37" s="231">
        <v>0</v>
      </c>
      <c r="E37" s="231">
        <v>0</v>
      </c>
      <c r="F37" s="231"/>
      <c r="G37" s="231"/>
      <c r="H37" s="231"/>
      <c r="I37" s="231">
        <v>0</v>
      </c>
      <c r="J37" s="231"/>
      <c r="K37" s="235">
        <v>0</v>
      </c>
      <c r="L37" s="68"/>
    </row>
    <row r="38" spans="1:12" ht="12.75" customHeight="1">
      <c r="A38" s="234"/>
      <c r="B38" s="228" t="s">
        <v>799</v>
      </c>
      <c r="C38" s="231">
        <v>0</v>
      </c>
      <c r="D38" s="231">
        <v>0</v>
      </c>
      <c r="E38" s="231">
        <v>0</v>
      </c>
      <c r="F38" s="231"/>
      <c r="G38" s="231"/>
      <c r="H38" s="231"/>
      <c r="I38" s="231">
        <v>0</v>
      </c>
      <c r="J38" s="231"/>
      <c r="K38" s="235">
        <v>0</v>
      </c>
      <c r="L38" s="68"/>
    </row>
    <row r="39" spans="1:12" ht="12.75" customHeight="1">
      <c r="A39" s="234" t="s">
        <v>443</v>
      </c>
      <c r="B39" s="230" t="s">
        <v>4</v>
      </c>
      <c r="C39" s="231">
        <v>18690</v>
      </c>
      <c r="D39" s="231">
        <v>5046</v>
      </c>
      <c r="E39" s="231">
        <v>0</v>
      </c>
      <c r="F39" s="231"/>
      <c r="G39" s="231"/>
      <c r="H39" s="231"/>
      <c r="I39" s="231">
        <v>0</v>
      </c>
      <c r="J39" s="231"/>
      <c r="K39" s="235">
        <f>SUM(C39:J39)</f>
        <v>23736</v>
      </c>
      <c r="L39" s="68"/>
    </row>
    <row r="40" spans="1:12" ht="12.75" customHeight="1">
      <c r="A40" s="234"/>
      <c r="B40" s="228" t="s">
        <v>733</v>
      </c>
      <c r="C40" s="231">
        <v>0</v>
      </c>
      <c r="D40" s="231">
        <v>0</v>
      </c>
      <c r="E40" s="231">
        <v>0</v>
      </c>
      <c r="F40" s="231"/>
      <c r="G40" s="231"/>
      <c r="H40" s="231"/>
      <c r="I40" s="231">
        <v>0</v>
      </c>
      <c r="J40" s="231"/>
      <c r="K40" s="235">
        <v>0</v>
      </c>
      <c r="L40" s="68"/>
    </row>
    <row r="41" spans="1:12" ht="12.75" customHeight="1">
      <c r="A41" s="234"/>
      <c r="B41" s="228" t="s">
        <v>799</v>
      </c>
      <c r="C41" s="231">
        <v>0</v>
      </c>
      <c r="D41" s="231">
        <v>0</v>
      </c>
      <c r="E41" s="231">
        <v>0</v>
      </c>
      <c r="F41" s="231"/>
      <c r="G41" s="231"/>
      <c r="H41" s="231"/>
      <c r="I41" s="231">
        <v>0</v>
      </c>
      <c r="J41" s="231"/>
      <c r="K41" s="235">
        <v>0</v>
      </c>
      <c r="L41" s="68"/>
    </row>
    <row r="42" spans="1:12" ht="12.75" customHeight="1">
      <c r="A42" s="240" t="s">
        <v>260</v>
      </c>
      <c r="B42" s="232" t="s">
        <v>4</v>
      </c>
      <c r="C42" s="233">
        <f aca="true" t="shared" si="5" ref="C42:K42">(C30+C33+C36+C39)</f>
        <v>94098</v>
      </c>
      <c r="D42" s="233">
        <f t="shared" si="5"/>
        <v>26841</v>
      </c>
      <c r="E42" s="233">
        <f t="shared" si="5"/>
        <v>54173</v>
      </c>
      <c r="F42" s="233">
        <f t="shared" si="5"/>
        <v>0</v>
      </c>
      <c r="G42" s="233">
        <f t="shared" si="5"/>
        <v>0</v>
      </c>
      <c r="H42" s="233">
        <f t="shared" si="5"/>
        <v>0</v>
      </c>
      <c r="I42" s="233">
        <f t="shared" si="5"/>
        <v>8382</v>
      </c>
      <c r="J42" s="233">
        <f t="shared" si="5"/>
        <v>0</v>
      </c>
      <c r="K42" s="237">
        <f t="shared" si="5"/>
        <v>183494</v>
      </c>
      <c r="L42" s="68"/>
    </row>
    <row r="43" spans="1:12" ht="12.75" customHeight="1">
      <c r="A43" s="240"/>
      <c r="B43" s="640" t="s">
        <v>733</v>
      </c>
      <c r="C43" s="233">
        <f aca="true" t="shared" si="6" ref="C43:K43">(C31+C34+C37+C40)</f>
        <v>0</v>
      </c>
      <c r="D43" s="233">
        <f t="shared" si="6"/>
        <v>0</v>
      </c>
      <c r="E43" s="233">
        <f t="shared" si="6"/>
        <v>0</v>
      </c>
      <c r="F43" s="233">
        <f t="shared" si="6"/>
        <v>0</v>
      </c>
      <c r="G43" s="233">
        <f t="shared" si="6"/>
        <v>0</v>
      </c>
      <c r="H43" s="233">
        <f t="shared" si="6"/>
        <v>0</v>
      </c>
      <c r="I43" s="233">
        <f t="shared" si="6"/>
        <v>0</v>
      </c>
      <c r="J43" s="233">
        <f t="shared" si="6"/>
        <v>0</v>
      </c>
      <c r="K43" s="237">
        <f t="shared" si="6"/>
        <v>0</v>
      </c>
      <c r="L43" s="68"/>
    </row>
    <row r="44" spans="1:12" ht="12.75" customHeight="1">
      <c r="A44" s="240"/>
      <c r="B44" s="640" t="s">
        <v>799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7">
        <v>0</v>
      </c>
      <c r="L44" s="68"/>
    </row>
    <row r="45" spans="1:12" ht="12.75" customHeight="1">
      <c r="A45" s="240" t="s">
        <v>428</v>
      </c>
      <c r="B45" s="232" t="s">
        <v>4</v>
      </c>
      <c r="C45" s="233">
        <f aca="true" t="shared" si="7" ref="C45:J45">SUM(C30+C33+C36+C39)</f>
        <v>94098</v>
      </c>
      <c r="D45" s="233">
        <f t="shared" si="7"/>
        <v>26841</v>
      </c>
      <c r="E45" s="233">
        <f t="shared" si="7"/>
        <v>54173</v>
      </c>
      <c r="F45" s="233">
        <f t="shared" si="7"/>
        <v>0</v>
      </c>
      <c r="G45" s="233">
        <f t="shared" si="7"/>
        <v>0</v>
      </c>
      <c r="H45" s="233">
        <f t="shared" si="7"/>
        <v>0</v>
      </c>
      <c r="I45" s="233">
        <f t="shared" si="7"/>
        <v>8382</v>
      </c>
      <c r="J45" s="233">
        <f t="shared" si="7"/>
        <v>0</v>
      </c>
      <c r="K45" s="237">
        <f>K42</f>
        <v>183494</v>
      </c>
      <c r="L45" s="68"/>
    </row>
    <row r="46" spans="1:11" ht="12.75">
      <c r="A46" s="484"/>
      <c r="B46" s="643" t="s">
        <v>733</v>
      </c>
      <c r="C46" s="482">
        <f aca="true" t="shared" si="8" ref="C46:K46">(C31+C34+C37+C40)</f>
        <v>0</v>
      </c>
      <c r="D46" s="482">
        <f t="shared" si="8"/>
        <v>0</v>
      </c>
      <c r="E46" s="482">
        <f t="shared" si="8"/>
        <v>0</v>
      </c>
      <c r="F46" s="482">
        <f t="shared" si="8"/>
        <v>0</v>
      </c>
      <c r="G46" s="482">
        <f t="shared" si="8"/>
        <v>0</v>
      </c>
      <c r="H46" s="482">
        <f t="shared" si="8"/>
        <v>0</v>
      </c>
      <c r="I46" s="482">
        <f t="shared" si="8"/>
        <v>0</v>
      </c>
      <c r="J46" s="482">
        <f t="shared" si="8"/>
        <v>0</v>
      </c>
      <c r="K46" s="485">
        <f t="shared" si="8"/>
        <v>0</v>
      </c>
    </row>
    <row r="47" spans="1:11" ht="13.5" thickBot="1">
      <c r="A47" s="241"/>
      <c r="B47" s="641" t="s">
        <v>799</v>
      </c>
      <c r="C47" s="644">
        <v>0</v>
      </c>
      <c r="D47" s="644">
        <v>0</v>
      </c>
      <c r="E47" s="644">
        <v>0</v>
      </c>
      <c r="F47" s="644">
        <v>0</v>
      </c>
      <c r="G47" s="644">
        <v>0</v>
      </c>
      <c r="H47" s="644">
        <v>0</v>
      </c>
      <c r="I47" s="644">
        <v>0</v>
      </c>
      <c r="J47" s="644">
        <v>0</v>
      </c>
      <c r="K47" s="645">
        <v>0</v>
      </c>
    </row>
  </sheetData>
  <sheetProtection/>
  <mergeCells count="17">
    <mergeCell ref="N4:N5"/>
    <mergeCell ref="O4:O5"/>
    <mergeCell ref="A26:K26"/>
    <mergeCell ref="A28:B29"/>
    <mergeCell ref="C28:G28"/>
    <mergeCell ref="I28:J28"/>
    <mergeCell ref="K28:K29"/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</mergeCells>
  <printOptions horizontalCentered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66" r:id="rId1"/>
  <headerFooter alignWithMargins="0">
    <oddHeader>&amp;L7. melléklet a 28/2015.(XII.18.) önkormányzati rendelethez
7. melléklet az 1/2015.(I.30.)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view="pageBreakPreview" zoomScaleSheetLayoutView="100" workbookViewId="0" topLeftCell="B94">
      <selection activeCell="B8" sqref="B8"/>
    </sheetView>
  </sheetViews>
  <sheetFormatPr defaultColWidth="9.00390625" defaultRowHeight="12.75"/>
  <cols>
    <col min="1" max="1" width="0" style="288" hidden="1" customWidth="1"/>
    <col min="2" max="2" width="103.00390625" style="290" customWidth="1"/>
    <col min="3" max="3" width="10.375" style="291" customWidth="1"/>
    <col min="4" max="4" width="9.75390625" style="289" hidden="1" customWidth="1"/>
    <col min="5" max="5" width="9.125" style="289" hidden="1" customWidth="1"/>
    <col min="6" max="6" width="10.375" style="292" hidden="1" customWidth="1"/>
    <col min="7" max="8" width="10.625" style="293" hidden="1" customWidth="1"/>
    <col min="9" max="9" width="11.625" style="293" customWidth="1"/>
    <col min="10" max="10" width="11.625" style="293" hidden="1" customWidth="1"/>
    <col min="11" max="11" width="11.375" style="293" customWidth="1"/>
    <col min="12" max="16384" width="9.125" style="289" customWidth="1"/>
  </cols>
  <sheetData>
    <row r="1" spans="2:11" ht="15.75">
      <c r="B1" s="1243" t="s">
        <v>26</v>
      </c>
      <c r="C1" s="1243"/>
      <c r="D1" s="1243"/>
      <c r="E1" s="1243"/>
      <c r="F1" s="1243"/>
      <c r="G1" s="1243"/>
      <c r="H1" s="1243"/>
      <c r="I1" s="1243"/>
      <c r="J1" s="1243"/>
      <c r="K1" s="1243"/>
    </row>
    <row r="2" spans="2:11" ht="15.75">
      <c r="B2" s="1244" t="s">
        <v>3</v>
      </c>
      <c r="C2" s="1244"/>
      <c r="D2" s="1244"/>
      <c r="E2" s="1244"/>
      <c r="F2" s="1244"/>
      <c r="G2" s="1244"/>
      <c r="H2" s="1244"/>
      <c r="I2" s="1244"/>
      <c r="J2" s="1244"/>
      <c r="K2" s="1244"/>
    </row>
    <row r="3" ht="13.5" thickBot="1"/>
    <row r="4" spans="1:11" s="300" customFormat="1" ht="29.25" customHeight="1">
      <c r="A4" s="294" t="s">
        <v>40</v>
      </c>
      <c r="B4" s="295" t="s">
        <v>629</v>
      </c>
      <c r="C4" s="296" t="s">
        <v>4</v>
      </c>
      <c r="D4" s="297" t="s">
        <v>466</v>
      </c>
      <c r="E4" s="298" t="s">
        <v>465</v>
      </c>
      <c r="F4" s="299" t="s">
        <v>671</v>
      </c>
      <c r="G4" s="516" t="s">
        <v>668</v>
      </c>
      <c r="H4" s="516" t="s">
        <v>760</v>
      </c>
      <c r="I4" s="689" t="s">
        <v>733</v>
      </c>
      <c r="J4" s="749" t="s">
        <v>823</v>
      </c>
      <c r="K4" s="515" t="s">
        <v>799</v>
      </c>
    </row>
    <row r="5" spans="2:11" ht="12.75">
      <c r="B5" s="174"/>
      <c r="C5" s="301"/>
      <c r="D5" s="302"/>
      <c r="E5" s="302"/>
      <c r="F5" s="303"/>
      <c r="G5" s="687"/>
      <c r="H5" s="687"/>
      <c r="I5" s="687"/>
      <c r="J5" s="750"/>
      <c r="K5" s="751"/>
    </row>
    <row r="6" spans="2:11" ht="12.75">
      <c r="B6" s="304" t="s">
        <v>5</v>
      </c>
      <c r="C6" s="305">
        <f aca="true" t="shared" si="0" ref="C6:K6">SUM(C8,C21,C34)</f>
        <v>2192246</v>
      </c>
      <c r="D6" s="305">
        <f t="shared" si="0"/>
        <v>1570612</v>
      </c>
      <c r="E6" s="305">
        <f t="shared" si="0"/>
        <v>355391</v>
      </c>
      <c r="F6" s="306">
        <f t="shared" si="0"/>
        <v>-92686</v>
      </c>
      <c r="G6" s="305">
        <f t="shared" si="0"/>
        <v>2099560</v>
      </c>
      <c r="H6" s="305">
        <f t="shared" si="0"/>
        <v>62351</v>
      </c>
      <c r="I6" s="305">
        <f t="shared" si="0"/>
        <v>2161911</v>
      </c>
      <c r="J6" s="305">
        <f t="shared" si="0"/>
        <v>-221416</v>
      </c>
      <c r="K6" s="756">
        <f t="shared" si="0"/>
        <v>1940495</v>
      </c>
    </row>
    <row r="7" spans="2:11" ht="12.75">
      <c r="B7" s="174"/>
      <c r="C7" s="301"/>
      <c r="D7" s="307"/>
      <c r="E7" s="302"/>
      <c r="F7" s="303"/>
      <c r="G7" s="687"/>
      <c r="H7" s="687"/>
      <c r="I7" s="687"/>
      <c r="J7" s="750"/>
      <c r="K7" s="751"/>
    </row>
    <row r="8" spans="2:11" ht="12.75">
      <c r="B8" s="304" t="s">
        <v>6</v>
      </c>
      <c r="C8" s="305">
        <f aca="true" t="shared" si="1" ref="C8:I8">SUM(C9:C19)</f>
        <v>1926003</v>
      </c>
      <c r="D8" s="305">
        <f t="shared" si="1"/>
        <v>1570612</v>
      </c>
      <c r="E8" s="305">
        <f t="shared" si="1"/>
        <v>355391</v>
      </c>
      <c r="F8" s="306">
        <f t="shared" si="1"/>
        <v>-104882</v>
      </c>
      <c r="G8" s="305">
        <f t="shared" si="1"/>
        <v>1821121</v>
      </c>
      <c r="H8" s="305">
        <f t="shared" si="1"/>
        <v>-10805</v>
      </c>
      <c r="I8" s="305">
        <f t="shared" si="1"/>
        <v>1810316</v>
      </c>
      <c r="J8" s="305">
        <f>SUM(J9:J19)</f>
        <v>-237690</v>
      </c>
      <c r="K8" s="756">
        <f>SUM(K9:K19)</f>
        <v>1572626</v>
      </c>
    </row>
    <row r="9" spans="1:11" s="309" customFormat="1" ht="12.75">
      <c r="A9" s="308" t="s">
        <v>49</v>
      </c>
      <c r="B9" s="174" t="s">
        <v>7</v>
      </c>
      <c r="C9" s="301">
        <v>130400</v>
      </c>
      <c r="D9" s="307">
        <f>41138+40430</f>
        <v>81568</v>
      </c>
      <c r="E9" s="307">
        <f>C9-D9</f>
        <v>48832</v>
      </c>
      <c r="F9" s="303">
        <v>572</v>
      </c>
      <c r="G9" s="301">
        <f>C9+F9</f>
        <v>130972</v>
      </c>
      <c r="H9" s="301">
        <f>-18916-11270-7048</f>
        <v>-37234</v>
      </c>
      <c r="I9" s="301">
        <f>G9+H9</f>
        <v>93738</v>
      </c>
      <c r="J9" s="752">
        <f>-8000-20259</f>
        <v>-28259</v>
      </c>
      <c r="K9" s="753">
        <f>I9+J9</f>
        <v>65479</v>
      </c>
    </row>
    <row r="10" spans="1:11" s="309" customFormat="1" ht="12.75">
      <c r="A10" s="308" t="s">
        <v>49</v>
      </c>
      <c r="B10" s="174" t="s">
        <v>761</v>
      </c>
      <c r="C10" s="301">
        <v>1049854</v>
      </c>
      <c r="D10" s="307">
        <f>622234+108756</f>
        <v>730990</v>
      </c>
      <c r="E10" s="307">
        <f aca="true" t="shared" si="2" ref="E10:E19">C10-D10</f>
        <v>318864</v>
      </c>
      <c r="F10" s="303">
        <f>-6387+250</f>
        <v>-6137</v>
      </c>
      <c r="G10" s="301">
        <f aca="true" t="shared" si="3" ref="G10:G19">C10+F10</f>
        <v>1043717</v>
      </c>
      <c r="H10" s="301">
        <f>161136-13348-22696</f>
        <v>125092</v>
      </c>
      <c r="I10" s="301">
        <f aca="true" t="shared" si="4" ref="I10:I19">G10+H10</f>
        <v>1168809</v>
      </c>
      <c r="J10" s="752">
        <f>-102315+300-14566-26418-1602-433</f>
        <v>-145034</v>
      </c>
      <c r="K10" s="753">
        <f aca="true" t="shared" si="5" ref="K10:K19">I10+J10</f>
        <v>1023775</v>
      </c>
    </row>
    <row r="11" spans="1:11" s="309" customFormat="1" ht="12.75">
      <c r="A11" s="308" t="s">
        <v>49</v>
      </c>
      <c r="B11" s="174" t="s">
        <v>19</v>
      </c>
      <c r="C11" s="301">
        <v>5000</v>
      </c>
      <c r="D11" s="307"/>
      <c r="E11" s="307">
        <f t="shared" si="2"/>
        <v>5000</v>
      </c>
      <c r="F11" s="303"/>
      <c r="G11" s="301">
        <f t="shared" si="3"/>
        <v>5000</v>
      </c>
      <c r="H11" s="301"/>
      <c r="I11" s="301">
        <f t="shared" si="4"/>
        <v>5000</v>
      </c>
      <c r="J11" s="752"/>
      <c r="K11" s="753">
        <f t="shared" si="5"/>
        <v>5000</v>
      </c>
    </row>
    <row r="12" spans="1:11" s="309" customFormat="1" ht="25.5">
      <c r="A12" s="308" t="s">
        <v>49</v>
      </c>
      <c r="B12" s="174" t="s">
        <v>8</v>
      </c>
      <c r="C12" s="301">
        <v>34492</v>
      </c>
      <c r="D12" s="307">
        <f>27961+6498</f>
        <v>34459</v>
      </c>
      <c r="E12" s="307">
        <f t="shared" si="2"/>
        <v>33</v>
      </c>
      <c r="F12" s="303">
        <f>425-5883</f>
        <v>-5458</v>
      </c>
      <c r="G12" s="301">
        <f t="shared" si="3"/>
        <v>29034</v>
      </c>
      <c r="H12" s="301"/>
      <c r="I12" s="301">
        <f t="shared" si="4"/>
        <v>29034</v>
      </c>
      <c r="J12" s="752">
        <v>-12000</v>
      </c>
      <c r="K12" s="753">
        <f t="shared" si="5"/>
        <v>17034</v>
      </c>
    </row>
    <row r="13" spans="1:11" s="309" customFormat="1" ht="12.75">
      <c r="A13" s="308" t="s">
        <v>49</v>
      </c>
      <c r="B13" s="174" t="s">
        <v>10</v>
      </c>
      <c r="C13" s="301">
        <v>45350</v>
      </c>
      <c r="D13" s="307">
        <f>64612</f>
        <v>64612</v>
      </c>
      <c r="E13" s="307">
        <f t="shared" si="2"/>
        <v>-19262</v>
      </c>
      <c r="F13" s="303">
        <v>275</v>
      </c>
      <c r="G13" s="301">
        <f t="shared" si="3"/>
        <v>45625</v>
      </c>
      <c r="H13" s="301"/>
      <c r="I13" s="301">
        <f t="shared" si="4"/>
        <v>45625</v>
      </c>
      <c r="J13" s="752"/>
      <c r="K13" s="753">
        <f t="shared" si="5"/>
        <v>45625</v>
      </c>
    </row>
    <row r="14" spans="1:11" s="309" customFormat="1" ht="12.75">
      <c r="A14" s="308" t="s">
        <v>49</v>
      </c>
      <c r="B14" s="174" t="s">
        <v>9</v>
      </c>
      <c r="C14" s="301">
        <v>87500</v>
      </c>
      <c r="D14" s="307">
        <v>90625</v>
      </c>
      <c r="E14" s="307">
        <f t="shared" si="2"/>
        <v>-3125</v>
      </c>
      <c r="F14" s="303">
        <v>-87500</v>
      </c>
      <c r="G14" s="301">
        <f t="shared" si="3"/>
        <v>0</v>
      </c>
      <c r="H14" s="301"/>
      <c r="I14" s="301">
        <f t="shared" si="4"/>
        <v>0</v>
      </c>
      <c r="J14" s="752"/>
      <c r="K14" s="753">
        <f t="shared" si="5"/>
        <v>0</v>
      </c>
    </row>
    <row r="15" spans="1:11" s="309" customFormat="1" ht="12.75" customHeight="1">
      <c r="A15" s="308" t="s">
        <v>17</v>
      </c>
      <c r="B15" s="174" t="s">
        <v>451</v>
      </c>
      <c r="C15" s="301">
        <v>17378</v>
      </c>
      <c r="D15" s="307">
        <v>17987</v>
      </c>
      <c r="E15" s="307">
        <f t="shared" si="2"/>
        <v>-609</v>
      </c>
      <c r="F15" s="303"/>
      <c r="G15" s="301">
        <f t="shared" si="3"/>
        <v>17378</v>
      </c>
      <c r="H15" s="301">
        <v>-10217</v>
      </c>
      <c r="I15" s="301">
        <f t="shared" si="4"/>
        <v>7161</v>
      </c>
      <c r="J15" s="752"/>
      <c r="K15" s="753">
        <f t="shared" si="5"/>
        <v>7161</v>
      </c>
    </row>
    <row r="16" spans="1:11" s="309" customFormat="1" ht="12.75">
      <c r="A16" s="308" t="s">
        <v>49</v>
      </c>
      <c r="B16" s="174" t="s">
        <v>76</v>
      </c>
      <c r="C16" s="301">
        <v>35494</v>
      </c>
      <c r="D16" s="307">
        <v>35494</v>
      </c>
      <c r="E16" s="307">
        <f t="shared" si="2"/>
        <v>0</v>
      </c>
      <c r="F16" s="303"/>
      <c r="G16" s="301">
        <f t="shared" si="3"/>
        <v>35494</v>
      </c>
      <c r="H16" s="301"/>
      <c r="I16" s="301">
        <f t="shared" si="4"/>
        <v>35494</v>
      </c>
      <c r="J16" s="752"/>
      <c r="K16" s="753">
        <f t="shared" si="5"/>
        <v>35494</v>
      </c>
    </row>
    <row r="17" spans="1:11" s="309" customFormat="1" ht="12.75">
      <c r="A17" s="308" t="s">
        <v>49</v>
      </c>
      <c r="B17" s="174" t="s">
        <v>139</v>
      </c>
      <c r="C17" s="301">
        <v>271022</v>
      </c>
      <c r="D17" s="307">
        <v>267151</v>
      </c>
      <c r="E17" s="307">
        <f t="shared" si="2"/>
        <v>3871</v>
      </c>
      <c r="F17" s="303">
        <v>-2768</v>
      </c>
      <c r="G17" s="301">
        <f t="shared" si="3"/>
        <v>268254</v>
      </c>
      <c r="H17" s="301">
        <f>-2844-36302</f>
        <v>-39146</v>
      </c>
      <c r="I17" s="301">
        <f t="shared" si="4"/>
        <v>229108</v>
      </c>
      <c r="J17" s="752">
        <v>-12397</v>
      </c>
      <c r="K17" s="753">
        <f t="shared" si="5"/>
        <v>216711</v>
      </c>
    </row>
    <row r="18" spans="1:11" s="309" customFormat="1" ht="12.75">
      <c r="A18" s="308" t="s">
        <v>49</v>
      </c>
      <c r="B18" s="174" t="s">
        <v>140</v>
      </c>
      <c r="C18" s="301">
        <v>227553</v>
      </c>
      <c r="D18" s="307">
        <v>225766</v>
      </c>
      <c r="E18" s="307">
        <f t="shared" si="2"/>
        <v>1787</v>
      </c>
      <c r="F18" s="303">
        <v>-3866</v>
      </c>
      <c r="G18" s="301">
        <f t="shared" si="3"/>
        <v>223687</v>
      </c>
      <c r="H18" s="301">
        <f>-13854-35446</f>
        <v>-49300</v>
      </c>
      <c r="I18" s="301">
        <f t="shared" si="4"/>
        <v>174387</v>
      </c>
      <c r="J18" s="752">
        <v>-40000</v>
      </c>
      <c r="K18" s="753">
        <f t="shared" si="5"/>
        <v>134387</v>
      </c>
    </row>
    <row r="19" spans="1:11" s="309" customFormat="1" ht="12.75">
      <c r="A19" s="308" t="s">
        <v>17</v>
      </c>
      <c r="B19" s="174" t="s">
        <v>75</v>
      </c>
      <c r="C19" s="301">
        <v>21960</v>
      </c>
      <c r="D19" s="307">
        <v>21960</v>
      </c>
      <c r="E19" s="307">
        <f t="shared" si="2"/>
        <v>0</v>
      </c>
      <c r="F19" s="303"/>
      <c r="G19" s="301">
        <f t="shared" si="3"/>
        <v>21960</v>
      </c>
      <c r="H19" s="301"/>
      <c r="I19" s="301">
        <f t="shared" si="4"/>
        <v>21960</v>
      </c>
      <c r="J19" s="752"/>
      <c r="K19" s="753">
        <f t="shared" si="5"/>
        <v>21960</v>
      </c>
    </row>
    <row r="20" spans="1:11" s="309" customFormat="1" ht="12.75">
      <c r="A20" s="308"/>
      <c r="B20" s="174"/>
      <c r="C20" s="301"/>
      <c r="D20" s="307"/>
      <c r="E20" s="310"/>
      <c r="F20" s="303"/>
      <c r="G20" s="687"/>
      <c r="H20" s="687"/>
      <c r="I20" s="687"/>
      <c r="J20" s="750"/>
      <c r="K20" s="751"/>
    </row>
    <row r="21" spans="1:11" s="309" customFormat="1" ht="12.75">
      <c r="A21" s="308"/>
      <c r="B21" s="304" t="s">
        <v>11</v>
      </c>
      <c r="C21" s="305">
        <f>SUM(C22:C24)</f>
        <v>9239</v>
      </c>
      <c r="D21" s="305">
        <f>SUM(D22:D24)</f>
        <v>0</v>
      </c>
      <c r="E21" s="305">
        <f>SUM(E22:E24)</f>
        <v>0</v>
      </c>
      <c r="F21" s="306">
        <f>SUM(F22:F28)</f>
        <v>13658</v>
      </c>
      <c r="G21" s="305">
        <f>SUM(G22:G28)</f>
        <v>22897</v>
      </c>
      <c r="H21" s="305">
        <f>SUM(H22:H31)</f>
        <v>51602</v>
      </c>
      <c r="I21" s="305">
        <f>SUM(I22:I31)</f>
        <v>74499</v>
      </c>
      <c r="J21" s="305">
        <f>SUM(J22:J32)</f>
        <v>27552</v>
      </c>
      <c r="K21" s="756">
        <f>SUM(K22:K32)</f>
        <v>102051</v>
      </c>
    </row>
    <row r="22" spans="1:11" s="309" customFormat="1" ht="12.75">
      <c r="A22" s="308" t="s">
        <v>49</v>
      </c>
      <c r="B22" s="174" t="s">
        <v>72</v>
      </c>
      <c r="C22" s="301">
        <v>8500</v>
      </c>
      <c r="D22" s="307"/>
      <c r="E22" s="310"/>
      <c r="F22" s="303"/>
      <c r="G22" s="301">
        <f>C22+F22</f>
        <v>8500</v>
      </c>
      <c r="H22" s="301"/>
      <c r="I22" s="301">
        <f>G22+H22</f>
        <v>8500</v>
      </c>
      <c r="J22" s="752"/>
      <c r="K22" s="753">
        <f>I22+J22</f>
        <v>8500</v>
      </c>
    </row>
    <row r="23" spans="1:11" s="309" customFormat="1" ht="12.75">
      <c r="A23" s="308" t="s">
        <v>49</v>
      </c>
      <c r="B23" s="174" t="s">
        <v>663</v>
      </c>
      <c r="C23" s="301">
        <v>726</v>
      </c>
      <c r="D23" s="307"/>
      <c r="E23" s="310"/>
      <c r="F23" s="303"/>
      <c r="G23" s="301">
        <f aca="true" t="shared" si="6" ref="G23:G28">C23+F23</f>
        <v>726</v>
      </c>
      <c r="H23" s="301"/>
      <c r="I23" s="301">
        <f aca="true" t="shared" si="7" ref="I23:I31">G23+H23</f>
        <v>726</v>
      </c>
      <c r="J23" s="752"/>
      <c r="K23" s="753">
        <f aca="true" t="shared" si="8" ref="K23:K32">I23+J23</f>
        <v>726</v>
      </c>
    </row>
    <row r="24" spans="1:11" s="309" customFormat="1" ht="12.75">
      <c r="A24" s="308" t="s">
        <v>49</v>
      </c>
      <c r="B24" s="174" t="s">
        <v>73</v>
      </c>
      <c r="C24" s="301">
        <v>13</v>
      </c>
      <c r="D24" s="307"/>
      <c r="E24" s="310"/>
      <c r="F24" s="303"/>
      <c r="G24" s="301">
        <f t="shared" si="6"/>
        <v>13</v>
      </c>
      <c r="H24" s="301"/>
      <c r="I24" s="301">
        <f t="shared" si="7"/>
        <v>13</v>
      </c>
      <c r="J24" s="752"/>
      <c r="K24" s="753">
        <f t="shared" si="8"/>
        <v>13</v>
      </c>
    </row>
    <row r="25" spans="1:11" s="309" customFormat="1" ht="12.75">
      <c r="A25" s="308"/>
      <c r="B25" s="174" t="s">
        <v>672</v>
      </c>
      <c r="C25" s="301"/>
      <c r="D25" s="307"/>
      <c r="E25" s="310"/>
      <c r="F25" s="303">
        <v>5936</v>
      </c>
      <c r="G25" s="301">
        <f t="shared" si="6"/>
        <v>5936</v>
      </c>
      <c r="H25" s="301"/>
      <c r="I25" s="301">
        <f t="shared" si="7"/>
        <v>5936</v>
      </c>
      <c r="J25" s="752"/>
      <c r="K25" s="753">
        <f t="shared" si="8"/>
        <v>5936</v>
      </c>
    </row>
    <row r="26" spans="1:11" s="309" customFormat="1" ht="12.75">
      <c r="A26" s="308"/>
      <c r="B26" s="174" t="s">
        <v>673</v>
      </c>
      <c r="C26" s="301"/>
      <c r="D26" s="307"/>
      <c r="E26" s="310"/>
      <c r="F26" s="303">
        <f>791+724</f>
        <v>1515</v>
      </c>
      <c r="G26" s="301">
        <f t="shared" si="6"/>
        <v>1515</v>
      </c>
      <c r="H26" s="301"/>
      <c r="I26" s="301">
        <f t="shared" si="7"/>
        <v>1515</v>
      </c>
      <c r="J26" s="752"/>
      <c r="K26" s="753">
        <f t="shared" si="8"/>
        <v>1515</v>
      </c>
    </row>
    <row r="27" spans="1:11" s="309" customFormat="1" ht="12.75">
      <c r="A27" s="308"/>
      <c r="B27" s="174" t="s">
        <v>674</v>
      </c>
      <c r="C27" s="301"/>
      <c r="D27" s="307"/>
      <c r="E27" s="310"/>
      <c r="F27" s="303">
        <v>5207</v>
      </c>
      <c r="G27" s="301">
        <f t="shared" si="6"/>
        <v>5207</v>
      </c>
      <c r="H27" s="301"/>
      <c r="I27" s="301">
        <f t="shared" si="7"/>
        <v>5207</v>
      </c>
      <c r="J27" s="752"/>
      <c r="K27" s="753">
        <f t="shared" si="8"/>
        <v>5207</v>
      </c>
    </row>
    <row r="28" spans="1:11" s="309" customFormat="1" ht="12.75">
      <c r="A28" s="308"/>
      <c r="B28" s="174" t="s">
        <v>675</v>
      </c>
      <c r="C28" s="301"/>
      <c r="D28" s="307"/>
      <c r="E28" s="310"/>
      <c r="F28" s="303">
        <v>1000</v>
      </c>
      <c r="G28" s="301">
        <f t="shared" si="6"/>
        <v>1000</v>
      </c>
      <c r="H28" s="301"/>
      <c r="I28" s="301">
        <f t="shared" si="7"/>
        <v>1000</v>
      </c>
      <c r="J28" s="752"/>
      <c r="K28" s="753">
        <f t="shared" si="8"/>
        <v>1000</v>
      </c>
    </row>
    <row r="29" spans="1:11" s="309" customFormat="1" ht="12.75">
      <c r="A29" s="308"/>
      <c r="B29" s="174" t="s">
        <v>762</v>
      </c>
      <c r="C29" s="301"/>
      <c r="D29" s="307"/>
      <c r="E29" s="310"/>
      <c r="F29" s="303"/>
      <c r="G29" s="301"/>
      <c r="H29" s="301">
        <v>5660</v>
      </c>
      <c r="I29" s="301">
        <f t="shared" si="7"/>
        <v>5660</v>
      </c>
      <c r="J29" s="752"/>
      <c r="K29" s="753">
        <f t="shared" si="8"/>
        <v>5660</v>
      </c>
    </row>
    <row r="30" spans="1:11" s="309" customFormat="1" ht="25.5">
      <c r="A30" s="308"/>
      <c r="B30" s="174" t="s">
        <v>763</v>
      </c>
      <c r="C30" s="301"/>
      <c r="D30" s="307"/>
      <c r="E30" s="310"/>
      <c r="F30" s="303"/>
      <c r="G30" s="301"/>
      <c r="H30" s="301">
        <v>4442</v>
      </c>
      <c r="I30" s="301">
        <f t="shared" si="7"/>
        <v>4442</v>
      </c>
      <c r="J30" s="752"/>
      <c r="K30" s="753">
        <f t="shared" si="8"/>
        <v>4442</v>
      </c>
    </row>
    <row r="31" spans="1:11" s="309" customFormat="1" ht="15" customHeight="1">
      <c r="A31" s="308"/>
      <c r="B31" s="174" t="s">
        <v>824</v>
      </c>
      <c r="C31" s="301"/>
      <c r="D31" s="307"/>
      <c r="E31" s="310"/>
      <c r="F31" s="303"/>
      <c r="G31" s="301"/>
      <c r="H31" s="301">
        <v>41500</v>
      </c>
      <c r="I31" s="301">
        <f t="shared" si="7"/>
        <v>41500</v>
      </c>
      <c r="J31" s="752">
        <v>23742</v>
      </c>
      <c r="K31" s="753">
        <f t="shared" si="8"/>
        <v>65242</v>
      </c>
    </row>
    <row r="32" spans="1:11" s="309" customFormat="1" ht="12.75">
      <c r="A32" s="308"/>
      <c r="B32" s="174" t="s">
        <v>825</v>
      </c>
      <c r="C32" s="301"/>
      <c r="D32" s="307"/>
      <c r="E32" s="310"/>
      <c r="F32" s="303"/>
      <c r="G32" s="301"/>
      <c r="H32" s="301"/>
      <c r="I32" s="301"/>
      <c r="J32" s="752">
        <v>3810</v>
      </c>
      <c r="K32" s="753">
        <f t="shared" si="8"/>
        <v>3810</v>
      </c>
    </row>
    <row r="33" spans="1:11" s="309" customFormat="1" ht="12.75">
      <c r="A33" s="308"/>
      <c r="B33" s="174"/>
      <c r="C33" s="301"/>
      <c r="D33" s="307"/>
      <c r="E33" s="310"/>
      <c r="F33" s="303"/>
      <c r="G33" s="687"/>
      <c r="H33" s="687"/>
      <c r="I33" s="687"/>
      <c r="J33" s="750"/>
      <c r="K33" s="751"/>
    </row>
    <row r="34" spans="1:11" s="309" customFormat="1" ht="12.75">
      <c r="A34" s="308" t="s">
        <v>49</v>
      </c>
      <c r="B34" s="304" t="s">
        <v>48</v>
      </c>
      <c r="C34" s="305">
        <f>SUM(C35:C56)</f>
        <v>257004</v>
      </c>
      <c r="D34" s="305">
        <f>SUM(D35:D56)</f>
        <v>0</v>
      </c>
      <c r="E34" s="305">
        <f>SUM(E35:E56)</f>
        <v>0</v>
      </c>
      <c r="F34" s="306">
        <f>SUM(F35:F58)</f>
        <v>-1462</v>
      </c>
      <c r="G34" s="305">
        <f>SUM(G35:G58)</f>
        <v>255542</v>
      </c>
      <c r="H34" s="305">
        <f>SUM(H35:H70)</f>
        <v>21554</v>
      </c>
      <c r="I34" s="305">
        <f>SUM(I35:I70)</f>
        <v>277096</v>
      </c>
      <c r="J34" s="305">
        <f>SUM(J35:J79)</f>
        <v>-11278</v>
      </c>
      <c r="K34" s="756">
        <f>SUM(K35:K79)</f>
        <v>265818</v>
      </c>
    </row>
    <row r="35" spans="1:11" s="309" customFormat="1" ht="12.75">
      <c r="A35" s="308" t="s">
        <v>49</v>
      </c>
      <c r="B35" s="174" t="s">
        <v>50</v>
      </c>
      <c r="C35" s="301">
        <v>5072</v>
      </c>
      <c r="D35" s="307"/>
      <c r="E35" s="310"/>
      <c r="F35" s="303"/>
      <c r="G35" s="301">
        <f>C35+F35</f>
        <v>5072</v>
      </c>
      <c r="H35" s="301"/>
      <c r="I35" s="301">
        <f>G35+H35</f>
        <v>5072</v>
      </c>
      <c r="J35" s="752"/>
      <c r="K35" s="753">
        <f>J35+I35</f>
        <v>5072</v>
      </c>
    </row>
    <row r="36" spans="1:11" s="309" customFormat="1" ht="12.75">
      <c r="A36" s="308" t="s">
        <v>49</v>
      </c>
      <c r="B36" s="174" t="s">
        <v>18</v>
      </c>
      <c r="C36" s="301">
        <v>5500</v>
      </c>
      <c r="D36" s="307"/>
      <c r="E36" s="310"/>
      <c r="F36" s="303"/>
      <c r="G36" s="301">
        <f aca="true" t="shared" si="9" ref="G36:G58">C36+F36</f>
        <v>5500</v>
      </c>
      <c r="H36" s="301"/>
      <c r="I36" s="301">
        <f aca="true" t="shared" si="10" ref="I36:I70">G36+H36</f>
        <v>5500</v>
      </c>
      <c r="J36" s="752">
        <v>-5500</v>
      </c>
      <c r="K36" s="753">
        <f aca="true" t="shared" si="11" ref="K36:K79">J36+I36</f>
        <v>0</v>
      </c>
    </row>
    <row r="37" spans="1:11" s="309" customFormat="1" ht="12.75">
      <c r="A37" s="308" t="s">
        <v>49</v>
      </c>
      <c r="B37" s="174" t="s">
        <v>53</v>
      </c>
      <c r="C37" s="301">
        <v>10000</v>
      </c>
      <c r="D37" s="307"/>
      <c r="E37" s="310"/>
      <c r="F37" s="303">
        <v>-1487</v>
      </c>
      <c r="G37" s="301">
        <f t="shared" si="9"/>
        <v>8513</v>
      </c>
      <c r="H37" s="301"/>
      <c r="I37" s="301">
        <f t="shared" si="10"/>
        <v>8513</v>
      </c>
      <c r="J37" s="752"/>
      <c r="K37" s="753">
        <f t="shared" si="11"/>
        <v>8513</v>
      </c>
    </row>
    <row r="38" spans="1:11" s="309" customFormat="1" ht="12.75">
      <c r="A38" s="308" t="s">
        <v>49</v>
      </c>
      <c r="B38" s="174" t="s">
        <v>87</v>
      </c>
      <c r="C38" s="301">
        <v>1100</v>
      </c>
      <c r="D38" s="307"/>
      <c r="E38" s="310"/>
      <c r="F38" s="303"/>
      <c r="G38" s="301">
        <f t="shared" si="9"/>
        <v>1100</v>
      </c>
      <c r="H38" s="301"/>
      <c r="I38" s="301">
        <f t="shared" si="10"/>
        <v>1100</v>
      </c>
      <c r="J38" s="752"/>
      <c r="K38" s="753">
        <f t="shared" si="11"/>
        <v>1100</v>
      </c>
    </row>
    <row r="39" spans="1:11" s="309" customFormat="1" ht="12.75">
      <c r="A39" s="308" t="s">
        <v>49</v>
      </c>
      <c r="B39" s="174" t="s">
        <v>55</v>
      </c>
      <c r="C39" s="301">
        <v>3900</v>
      </c>
      <c r="D39" s="307"/>
      <c r="E39" s="310"/>
      <c r="F39" s="303"/>
      <c r="G39" s="301">
        <f t="shared" si="9"/>
        <v>3900</v>
      </c>
      <c r="H39" s="301">
        <f>-3123-777</f>
        <v>-3900</v>
      </c>
      <c r="I39" s="301">
        <f t="shared" si="10"/>
        <v>0</v>
      </c>
      <c r="J39" s="752"/>
      <c r="K39" s="753">
        <f t="shared" si="11"/>
        <v>0</v>
      </c>
    </row>
    <row r="40" spans="1:11" s="309" customFormat="1" ht="12.75">
      <c r="A40" s="308" t="s">
        <v>57</v>
      </c>
      <c r="B40" s="174" t="s">
        <v>56</v>
      </c>
      <c r="C40" s="301">
        <v>3800</v>
      </c>
      <c r="D40" s="307"/>
      <c r="E40" s="310"/>
      <c r="F40" s="303"/>
      <c r="G40" s="301">
        <f t="shared" si="9"/>
        <v>3800</v>
      </c>
      <c r="H40" s="301"/>
      <c r="I40" s="301">
        <f t="shared" si="10"/>
        <v>3800</v>
      </c>
      <c r="J40" s="752">
        <v>-3800</v>
      </c>
      <c r="K40" s="753">
        <f t="shared" si="11"/>
        <v>0</v>
      </c>
    </row>
    <row r="41" spans="1:11" s="309" customFormat="1" ht="12.75">
      <c r="A41" s="308" t="s">
        <v>57</v>
      </c>
      <c r="B41" s="174" t="s">
        <v>58</v>
      </c>
      <c r="C41" s="301">
        <v>4445</v>
      </c>
      <c r="D41" s="307"/>
      <c r="E41" s="310"/>
      <c r="F41" s="303"/>
      <c r="G41" s="301">
        <f t="shared" si="9"/>
        <v>4445</v>
      </c>
      <c r="H41" s="301"/>
      <c r="I41" s="301">
        <f t="shared" si="10"/>
        <v>4445</v>
      </c>
      <c r="J41" s="752">
        <v>-4445</v>
      </c>
      <c r="K41" s="753">
        <f t="shared" si="11"/>
        <v>0</v>
      </c>
    </row>
    <row r="42" spans="1:11" s="309" customFormat="1" ht="12.75">
      <c r="A42" s="308" t="s">
        <v>57</v>
      </c>
      <c r="B42" s="174" t="s">
        <v>59</v>
      </c>
      <c r="C42" s="301">
        <v>62108</v>
      </c>
      <c r="D42" s="307"/>
      <c r="E42" s="310"/>
      <c r="F42" s="303"/>
      <c r="G42" s="301">
        <f t="shared" si="9"/>
        <v>62108</v>
      </c>
      <c r="H42" s="301"/>
      <c r="I42" s="301">
        <f t="shared" si="10"/>
        <v>62108</v>
      </c>
      <c r="J42" s="752">
        <v>-2629</v>
      </c>
      <c r="K42" s="753">
        <f t="shared" si="11"/>
        <v>59479</v>
      </c>
    </row>
    <row r="43" spans="1:11" s="309" customFormat="1" ht="12.75">
      <c r="A43" s="308" t="s">
        <v>57</v>
      </c>
      <c r="B43" s="174" t="s">
        <v>60</v>
      </c>
      <c r="C43" s="301">
        <v>1525</v>
      </c>
      <c r="D43" s="307"/>
      <c r="E43" s="310"/>
      <c r="F43" s="303"/>
      <c r="G43" s="301">
        <f t="shared" si="9"/>
        <v>1525</v>
      </c>
      <c r="H43" s="301"/>
      <c r="I43" s="301">
        <f t="shared" si="10"/>
        <v>1525</v>
      </c>
      <c r="J43" s="752"/>
      <c r="K43" s="753">
        <f t="shared" si="11"/>
        <v>1525</v>
      </c>
    </row>
    <row r="44" spans="1:11" s="309" customFormat="1" ht="25.5">
      <c r="A44" s="308" t="s">
        <v>57</v>
      </c>
      <c r="B44" s="174" t="s">
        <v>61</v>
      </c>
      <c r="C44" s="301">
        <v>10000</v>
      </c>
      <c r="D44" s="307"/>
      <c r="E44" s="310"/>
      <c r="F44" s="303">
        <v>-2211</v>
      </c>
      <c r="G44" s="301">
        <f t="shared" si="9"/>
        <v>7789</v>
      </c>
      <c r="H44" s="301"/>
      <c r="I44" s="301">
        <f t="shared" si="10"/>
        <v>7789</v>
      </c>
      <c r="J44" s="752"/>
      <c r="K44" s="753">
        <f t="shared" si="11"/>
        <v>7789</v>
      </c>
    </row>
    <row r="45" spans="1:11" s="309" customFormat="1" ht="12.75">
      <c r="A45" s="308" t="s">
        <v>57</v>
      </c>
      <c r="B45" s="174" t="s">
        <v>62</v>
      </c>
      <c r="C45" s="301">
        <v>7264</v>
      </c>
      <c r="D45" s="307"/>
      <c r="E45" s="310"/>
      <c r="F45" s="303"/>
      <c r="G45" s="301">
        <f t="shared" si="9"/>
        <v>7264</v>
      </c>
      <c r="H45" s="301"/>
      <c r="I45" s="301">
        <f t="shared" si="10"/>
        <v>7264</v>
      </c>
      <c r="J45" s="752"/>
      <c r="K45" s="753">
        <f t="shared" si="11"/>
        <v>7264</v>
      </c>
    </row>
    <row r="46" spans="1:11" s="309" customFormat="1" ht="12.75">
      <c r="A46" s="308" t="s">
        <v>65</v>
      </c>
      <c r="B46" s="174" t="s">
        <v>63</v>
      </c>
      <c r="C46" s="301">
        <v>4445</v>
      </c>
      <c r="D46" s="307"/>
      <c r="E46" s="310"/>
      <c r="F46" s="303"/>
      <c r="G46" s="301">
        <f t="shared" si="9"/>
        <v>4445</v>
      </c>
      <c r="H46" s="301"/>
      <c r="I46" s="301">
        <f t="shared" si="10"/>
        <v>4445</v>
      </c>
      <c r="J46" s="752"/>
      <c r="K46" s="753">
        <f t="shared" si="11"/>
        <v>4445</v>
      </c>
    </row>
    <row r="47" spans="1:11" s="309" customFormat="1" ht="12.75">
      <c r="A47" s="308" t="s">
        <v>65</v>
      </c>
      <c r="B47" s="174" t="s">
        <v>66</v>
      </c>
      <c r="C47" s="301">
        <v>5000</v>
      </c>
      <c r="D47" s="307"/>
      <c r="E47" s="310"/>
      <c r="F47" s="303"/>
      <c r="G47" s="301">
        <f t="shared" si="9"/>
        <v>5000</v>
      </c>
      <c r="H47" s="301"/>
      <c r="I47" s="301">
        <f t="shared" si="10"/>
        <v>5000</v>
      </c>
      <c r="J47" s="752">
        <v>-609</v>
      </c>
      <c r="K47" s="753">
        <f t="shared" si="11"/>
        <v>4391</v>
      </c>
    </row>
    <row r="48" spans="1:11" s="309" customFormat="1" ht="12.75">
      <c r="A48" s="308" t="s">
        <v>65</v>
      </c>
      <c r="B48" s="174" t="s">
        <v>67</v>
      </c>
      <c r="C48" s="301">
        <v>20000</v>
      </c>
      <c r="D48" s="307"/>
      <c r="E48" s="310"/>
      <c r="F48" s="303"/>
      <c r="G48" s="301">
        <f t="shared" si="9"/>
        <v>20000</v>
      </c>
      <c r="H48" s="301"/>
      <c r="I48" s="301">
        <f t="shared" si="10"/>
        <v>20000</v>
      </c>
      <c r="J48" s="752"/>
      <c r="K48" s="753">
        <f t="shared" si="11"/>
        <v>20000</v>
      </c>
    </row>
    <row r="49" spans="1:11" s="309" customFormat="1" ht="25.5">
      <c r="A49" s="308" t="s">
        <v>69</v>
      </c>
      <c r="B49" s="174" t="s">
        <v>68</v>
      </c>
      <c r="C49" s="301">
        <v>6000</v>
      </c>
      <c r="D49" s="307"/>
      <c r="E49" s="310"/>
      <c r="F49" s="303"/>
      <c r="G49" s="301">
        <f t="shared" si="9"/>
        <v>6000</v>
      </c>
      <c r="H49" s="301"/>
      <c r="I49" s="301">
        <f t="shared" si="10"/>
        <v>6000</v>
      </c>
      <c r="J49" s="752">
        <v>-1194</v>
      </c>
      <c r="K49" s="753">
        <f t="shared" si="11"/>
        <v>4806</v>
      </c>
    </row>
    <row r="50" spans="1:11" s="309" customFormat="1" ht="12.75">
      <c r="A50" s="308" t="s">
        <v>69</v>
      </c>
      <c r="B50" s="174" t="s">
        <v>70</v>
      </c>
      <c r="C50" s="301">
        <v>40000</v>
      </c>
      <c r="D50" s="307"/>
      <c r="E50" s="310"/>
      <c r="F50" s="303"/>
      <c r="G50" s="301">
        <f t="shared" si="9"/>
        <v>40000</v>
      </c>
      <c r="H50" s="301"/>
      <c r="I50" s="301">
        <f t="shared" si="10"/>
        <v>40000</v>
      </c>
      <c r="J50" s="752"/>
      <c r="K50" s="753">
        <f t="shared" si="11"/>
        <v>40000</v>
      </c>
    </row>
    <row r="51" spans="1:11" s="309" customFormat="1" ht="12.75">
      <c r="A51" s="308" t="s">
        <v>149</v>
      </c>
      <c r="B51" s="174" t="s">
        <v>667</v>
      </c>
      <c r="C51" s="301">
        <v>21200</v>
      </c>
      <c r="D51" s="307"/>
      <c r="E51" s="310"/>
      <c r="F51" s="303"/>
      <c r="G51" s="301">
        <f t="shared" si="9"/>
        <v>21200</v>
      </c>
      <c r="H51" s="301"/>
      <c r="I51" s="301">
        <f t="shared" si="10"/>
        <v>21200</v>
      </c>
      <c r="J51" s="752"/>
      <c r="K51" s="753">
        <f t="shared" si="11"/>
        <v>21200</v>
      </c>
    </row>
    <row r="52" spans="1:11" s="309" customFormat="1" ht="12.75">
      <c r="A52" s="308" t="s">
        <v>64</v>
      </c>
      <c r="B52" s="174" t="s">
        <v>71</v>
      </c>
      <c r="C52" s="301">
        <v>22000</v>
      </c>
      <c r="D52" s="307"/>
      <c r="E52" s="310"/>
      <c r="F52" s="303"/>
      <c r="G52" s="301">
        <f t="shared" si="9"/>
        <v>22000</v>
      </c>
      <c r="H52" s="301"/>
      <c r="I52" s="301">
        <f t="shared" si="10"/>
        <v>22000</v>
      </c>
      <c r="J52" s="752"/>
      <c r="K52" s="753">
        <f t="shared" si="11"/>
        <v>22000</v>
      </c>
    </row>
    <row r="53" spans="1:11" s="309" customFormat="1" ht="12.75">
      <c r="A53" s="308" t="s">
        <v>49</v>
      </c>
      <c r="B53" s="174" t="s">
        <v>74</v>
      </c>
      <c r="C53" s="301">
        <v>15320</v>
      </c>
      <c r="D53" s="307"/>
      <c r="E53" s="310"/>
      <c r="F53" s="303"/>
      <c r="G53" s="301">
        <f t="shared" si="9"/>
        <v>15320</v>
      </c>
      <c r="H53" s="301">
        <v>-5500</v>
      </c>
      <c r="I53" s="301">
        <f t="shared" si="10"/>
        <v>9820</v>
      </c>
      <c r="J53" s="752"/>
      <c r="K53" s="753">
        <f t="shared" si="11"/>
        <v>9820</v>
      </c>
    </row>
    <row r="54" spans="1:11" s="309" customFormat="1" ht="12.75">
      <c r="A54" s="308" t="s">
        <v>17</v>
      </c>
      <c r="B54" s="174" t="s">
        <v>77</v>
      </c>
      <c r="C54" s="301">
        <v>800</v>
      </c>
      <c r="D54" s="307"/>
      <c r="E54" s="310"/>
      <c r="F54" s="303"/>
      <c r="G54" s="301">
        <f t="shared" si="9"/>
        <v>800</v>
      </c>
      <c r="H54" s="301"/>
      <c r="I54" s="301">
        <f t="shared" si="10"/>
        <v>800</v>
      </c>
      <c r="J54" s="752"/>
      <c r="K54" s="753">
        <f t="shared" si="11"/>
        <v>800</v>
      </c>
    </row>
    <row r="55" spans="1:11" s="309" customFormat="1" ht="12.75">
      <c r="A55" s="308" t="s">
        <v>69</v>
      </c>
      <c r="B55" s="174" t="s">
        <v>78</v>
      </c>
      <c r="C55" s="301">
        <v>1905</v>
      </c>
      <c r="D55" s="307"/>
      <c r="E55" s="310"/>
      <c r="F55" s="303"/>
      <c r="G55" s="301">
        <f t="shared" si="9"/>
        <v>1905</v>
      </c>
      <c r="H55" s="301"/>
      <c r="I55" s="301">
        <f t="shared" si="10"/>
        <v>1905</v>
      </c>
      <c r="J55" s="752"/>
      <c r="K55" s="753">
        <f t="shared" si="11"/>
        <v>1905</v>
      </c>
    </row>
    <row r="56" spans="1:11" s="309" customFormat="1" ht="12.75">
      <c r="A56" s="308"/>
      <c r="B56" s="174" t="s">
        <v>79</v>
      </c>
      <c r="C56" s="301">
        <v>5620</v>
      </c>
      <c r="D56" s="307"/>
      <c r="E56" s="310"/>
      <c r="F56" s="303"/>
      <c r="G56" s="301">
        <f t="shared" si="9"/>
        <v>5620</v>
      </c>
      <c r="H56" s="301"/>
      <c r="I56" s="301">
        <f t="shared" si="10"/>
        <v>5620</v>
      </c>
      <c r="J56" s="752"/>
      <c r="K56" s="753">
        <f t="shared" si="11"/>
        <v>5620</v>
      </c>
    </row>
    <row r="57" spans="1:11" s="309" customFormat="1" ht="12.75">
      <c r="A57" s="308"/>
      <c r="B57" s="174" t="s">
        <v>677</v>
      </c>
      <c r="C57" s="301"/>
      <c r="D57" s="307"/>
      <c r="E57" s="310"/>
      <c r="F57" s="303">
        <v>54</v>
      </c>
      <c r="G57" s="301">
        <f t="shared" si="9"/>
        <v>54</v>
      </c>
      <c r="H57" s="301"/>
      <c r="I57" s="301">
        <f t="shared" si="10"/>
        <v>54</v>
      </c>
      <c r="J57" s="752"/>
      <c r="K57" s="753">
        <f t="shared" si="11"/>
        <v>54</v>
      </c>
    </row>
    <row r="58" spans="1:11" s="309" customFormat="1" ht="12.75">
      <c r="A58" s="308"/>
      <c r="B58" s="174" t="s">
        <v>678</v>
      </c>
      <c r="C58" s="301"/>
      <c r="D58" s="307"/>
      <c r="E58" s="310"/>
      <c r="F58" s="303">
        <v>2182</v>
      </c>
      <c r="G58" s="301">
        <f t="shared" si="9"/>
        <v>2182</v>
      </c>
      <c r="H58" s="301"/>
      <c r="I58" s="301">
        <f t="shared" si="10"/>
        <v>2182</v>
      </c>
      <c r="J58" s="752"/>
      <c r="K58" s="753">
        <f t="shared" si="11"/>
        <v>2182</v>
      </c>
    </row>
    <row r="59" spans="1:11" s="309" customFormat="1" ht="12.75">
      <c r="A59" s="308"/>
      <c r="B59" s="174" t="s">
        <v>764</v>
      </c>
      <c r="C59" s="301"/>
      <c r="D59" s="307"/>
      <c r="E59" s="310"/>
      <c r="F59" s="303"/>
      <c r="G59" s="301"/>
      <c r="H59" s="301">
        <v>94</v>
      </c>
      <c r="I59" s="301">
        <f t="shared" si="10"/>
        <v>94</v>
      </c>
      <c r="J59" s="752"/>
      <c r="K59" s="753">
        <f t="shared" si="11"/>
        <v>94</v>
      </c>
    </row>
    <row r="60" spans="1:11" s="309" customFormat="1" ht="12.75">
      <c r="A60" s="308"/>
      <c r="B60" s="174" t="s">
        <v>765</v>
      </c>
      <c r="C60" s="301"/>
      <c r="D60" s="307"/>
      <c r="E60" s="310"/>
      <c r="F60" s="303"/>
      <c r="G60" s="301"/>
      <c r="H60" s="301">
        <f>57+12270</f>
        <v>12327</v>
      </c>
      <c r="I60" s="301">
        <f t="shared" si="10"/>
        <v>12327</v>
      </c>
      <c r="J60" s="752">
        <v>2268</v>
      </c>
      <c r="K60" s="753">
        <f t="shared" si="11"/>
        <v>14595</v>
      </c>
    </row>
    <row r="61" spans="1:11" s="309" customFormat="1" ht="12.75">
      <c r="A61" s="308"/>
      <c r="B61" s="174" t="s">
        <v>766</v>
      </c>
      <c r="C61" s="301"/>
      <c r="D61" s="307"/>
      <c r="E61" s="310"/>
      <c r="F61" s="303"/>
      <c r="G61" s="301"/>
      <c r="H61" s="301">
        <v>345</v>
      </c>
      <c r="I61" s="301">
        <f t="shared" si="10"/>
        <v>345</v>
      </c>
      <c r="J61" s="752"/>
      <c r="K61" s="753">
        <f t="shared" si="11"/>
        <v>345</v>
      </c>
    </row>
    <row r="62" spans="1:11" s="309" customFormat="1" ht="12.75">
      <c r="A62" s="308"/>
      <c r="B62" s="174" t="s">
        <v>767</v>
      </c>
      <c r="C62" s="301"/>
      <c r="D62" s="307"/>
      <c r="E62" s="310"/>
      <c r="F62" s="303"/>
      <c r="G62" s="301"/>
      <c r="H62" s="301">
        <v>556</v>
      </c>
      <c r="I62" s="301">
        <f t="shared" si="10"/>
        <v>556</v>
      </c>
      <c r="J62" s="752"/>
      <c r="K62" s="753">
        <f t="shared" si="11"/>
        <v>556</v>
      </c>
    </row>
    <row r="63" spans="1:11" s="309" customFormat="1" ht="12.75">
      <c r="A63" s="308"/>
      <c r="B63" s="174" t="s">
        <v>768</v>
      </c>
      <c r="C63" s="301"/>
      <c r="D63" s="307"/>
      <c r="E63" s="310"/>
      <c r="F63" s="303"/>
      <c r="G63" s="301"/>
      <c r="H63" s="301">
        <v>70</v>
      </c>
      <c r="I63" s="301">
        <f t="shared" si="10"/>
        <v>70</v>
      </c>
      <c r="J63" s="752"/>
      <c r="K63" s="753">
        <f t="shared" si="11"/>
        <v>70</v>
      </c>
    </row>
    <row r="64" spans="1:11" s="309" customFormat="1" ht="12.75">
      <c r="A64" s="308"/>
      <c r="B64" s="174" t="s">
        <v>769</v>
      </c>
      <c r="C64" s="301"/>
      <c r="D64" s="307"/>
      <c r="E64" s="310"/>
      <c r="F64" s="303"/>
      <c r="G64" s="301"/>
      <c r="H64" s="301">
        <v>368</v>
      </c>
      <c r="I64" s="301">
        <f t="shared" si="10"/>
        <v>368</v>
      </c>
      <c r="J64" s="752"/>
      <c r="K64" s="753">
        <f t="shared" si="11"/>
        <v>368</v>
      </c>
    </row>
    <row r="65" spans="1:11" s="309" customFormat="1" ht="12.75">
      <c r="A65" s="308"/>
      <c r="B65" s="174" t="s">
        <v>770</v>
      </c>
      <c r="C65" s="301"/>
      <c r="D65" s="307"/>
      <c r="E65" s="310"/>
      <c r="F65" s="303"/>
      <c r="G65" s="301"/>
      <c r="H65" s="301">
        <v>572</v>
      </c>
      <c r="I65" s="301">
        <f t="shared" si="10"/>
        <v>572</v>
      </c>
      <c r="J65" s="752"/>
      <c r="K65" s="753">
        <f t="shared" si="11"/>
        <v>572</v>
      </c>
    </row>
    <row r="66" spans="1:11" s="309" customFormat="1" ht="12.75">
      <c r="A66" s="308"/>
      <c r="B66" s="174" t="s">
        <v>771</v>
      </c>
      <c r="C66" s="301"/>
      <c r="D66" s="307"/>
      <c r="E66" s="310"/>
      <c r="F66" s="303"/>
      <c r="G66" s="301"/>
      <c r="H66" s="301">
        <v>197</v>
      </c>
      <c r="I66" s="301">
        <f t="shared" si="10"/>
        <v>197</v>
      </c>
      <c r="J66" s="752"/>
      <c r="K66" s="753">
        <f t="shared" si="11"/>
        <v>197</v>
      </c>
    </row>
    <row r="67" spans="1:11" s="309" customFormat="1" ht="12.75">
      <c r="A67" s="308"/>
      <c r="B67" s="174" t="s">
        <v>772</v>
      </c>
      <c r="C67" s="301"/>
      <c r="D67" s="307"/>
      <c r="E67" s="310"/>
      <c r="F67" s="303"/>
      <c r="G67" s="301"/>
      <c r="H67" s="301">
        <v>445</v>
      </c>
      <c r="I67" s="301">
        <f t="shared" si="10"/>
        <v>445</v>
      </c>
      <c r="J67" s="752"/>
      <c r="K67" s="753">
        <f t="shared" si="11"/>
        <v>445</v>
      </c>
    </row>
    <row r="68" spans="1:11" s="309" customFormat="1" ht="12.75">
      <c r="A68" s="308"/>
      <c r="B68" s="174" t="s">
        <v>773</v>
      </c>
      <c r="C68" s="301"/>
      <c r="D68" s="307"/>
      <c r="E68" s="310"/>
      <c r="F68" s="303"/>
      <c r="G68" s="301"/>
      <c r="H68" s="301">
        <v>5500</v>
      </c>
      <c r="I68" s="301">
        <f t="shared" si="10"/>
        <v>5500</v>
      </c>
      <c r="J68" s="752"/>
      <c r="K68" s="753">
        <f t="shared" si="11"/>
        <v>5500</v>
      </c>
    </row>
    <row r="69" spans="1:11" s="309" customFormat="1" ht="12.75">
      <c r="A69" s="308"/>
      <c r="B69" s="174" t="s">
        <v>774</v>
      </c>
      <c r="C69" s="301"/>
      <c r="D69" s="307"/>
      <c r="E69" s="310"/>
      <c r="F69" s="303"/>
      <c r="G69" s="301"/>
      <c r="H69" s="301">
        <v>10000</v>
      </c>
      <c r="I69" s="301">
        <f t="shared" si="10"/>
        <v>10000</v>
      </c>
      <c r="J69" s="752"/>
      <c r="K69" s="753">
        <f t="shared" si="11"/>
        <v>10000</v>
      </c>
    </row>
    <row r="70" spans="1:11" s="309" customFormat="1" ht="12.75">
      <c r="A70" s="308"/>
      <c r="B70" s="174" t="s">
        <v>775</v>
      </c>
      <c r="C70" s="301"/>
      <c r="D70" s="307"/>
      <c r="E70" s="310"/>
      <c r="F70" s="303"/>
      <c r="G70" s="301"/>
      <c r="H70" s="301">
        <v>480</v>
      </c>
      <c r="I70" s="301">
        <f t="shared" si="10"/>
        <v>480</v>
      </c>
      <c r="J70" s="752"/>
      <c r="K70" s="753">
        <f t="shared" si="11"/>
        <v>480</v>
      </c>
    </row>
    <row r="71" spans="1:11" s="309" customFormat="1" ht="12.75">
      <c r="A71" s="308"/>
      <c r="B71" s="174" t="s">
        <v>826</v>
      </c>
      <c r="C71" s="301"/>
      <c r="D71" s="307"/>
      <c r="E71" s="310"/>
      <c r="F71" s="303"/>
      <c r="G71" s="301"/>
      <c r="H71" s="301"/>
      <c r="I71" s="301"/>
      <c r="J71" s="752">
        <v>1173</v>
      </c>
      <c r="K71" s="753">
        <f t="shared" si="11"/>
        <v>1173</v>
      </c>
    </row>
    <row r="72" spans="1:11" s="309" customFormat="1" ht="12.75">
      <c r="A72" s="308"/>
      <c r="B72" s="174" t="s">
        <v>827</v>
      </c>
      <c r="C72" s="301"/>
      <c r="D72" s="307"/>
      <c r="E72" s="310"/>
      <c r="F72" s="303"/>
      <c r="G72" s="301"/>
      <c r="H72" s="301"/>
      <c r="I72" s="301"/>
      <c r="J72" s="752">
        <v>479</v>
      </c>
      <c r="K72" s="753">
        <f t="shared" si="11"/>
        <v>479</v>
      </c>
    </row>
    <row r="73" spans="1:11" s="309" customFormat="1" ht="12.75">
      <c r="A73" s="308"/>
      <c r="B73" s="174" t="s">
        <v>828</v>
      </c>
      <c r="C73" s="301"/>
      <c r="D73" s="307"/>
      <c r="E73" s="310"/>
      <c r="F73" s="303"/>
      <c r="G73" s="301"/>
      <c r="H73" s="301"/>
      <c r="I73" s="301"/>
      <c r="J73" s="752">
        <f>825+155</f>
        <v>980</v>
      </c>
      <c r="K73" s="753">
        <f t="shared" si="11"/>
        <v>980</v>
      </c>
    </row>
    <row r="74" spans="1:11" s="309" customFormat="1" ht="12.75">
      <c r="A74" s="308" t="s">
        <v>149</v>
      </c>
      <c r="B74" s="174" t="s">
        <v>829</v>
      </c>
      <c r="C74" s="301"/>
      <c r="D74" s="307"/>
      <c r="E74" s="310"/>
      <c r="F74" s="303"/>
      <c r="G74" s="301"/>
      <c r="H74" s="301"/>
      <c r="I74" s="301"/>
      <c r="J74" s="752">
        <v>156</v>
      </c>
      <c r="K74" s="753">
        <f t="shared" si="11"/>
        <v>156</v>
      </c>
    </row>
    <row r="75" spans="1:11" s="309" customFormat="1" ht="12.75">
      <c r="A75" s="308" t="s">
        <v>17</v>
      </c>
      <c r="B75" s="174" t="s">
        <v>830</v>
      </c>
      <c r="C75" s="301"/>
      <c r="D75" s="307"/>
      <c r="E75" s="310"/>
      <c r="F75" s="303"/>
      <c r="G75" s="301"/>
      <c r="H75" s="301"/>
      <c r="I75" s="301"/>
      <c r="J75" s="752">
        <v>1194</v>
      </c>
      <c r="K75" s="753">
        <f t="shared" si="11"/>
        <v>1194</v>
      </c>
    </row>
    <row r="76" spans="1:11" s="309" customFormat="1" ht="12.75">
      <c r="A76" s="308" t="s">
        <v>17</v>
      </c>
      <c r="B76" s="174" t="s">
        <v>831</v>
      </c>
      <c r="C76" s="301"/>
      <c r="D76" s="307"/>
      <c r="E76" s="310"/>
      <c r="F76" s="303"/>
      <c r="G76" s="301"/>
      <c r="H76" s="301"/>
      <c r="I76" s="301"/>
      <c r="J76" s="752">
        <v>40</v>
      </c>
      <c r="K76" s="753">
        <f t="shared" si="11"/>
        <v>40</v>
      </c>
    </row>
    <row r="77" spans="1:11" s="309" customFormat="1" ht="12.75">
      <c r="A77" s="308" t="s">
        <v>17</v>
      </c>
      <c r="B77" s="174" t="s">
        <v>832</v>
      </c>
      <c r="C77" s="301"/>
      <c r="D77" s="307"/>
      <c r="E77" s="310"/>
      <c r="F77" s="303"/>
      <c r="G77" s="301"/>
      <c r="H77" s="301"/>
      <c r="I77" s="301"/>
      <c r="J77" s="752">
        <v>254</v>
      </c>
      <c r="K77" s="753">
        <f t="shared" si="11"/>
        <v>254</v>
      </c>
    </row>
    <row r="78" spans="1:11" s="309" customFormat="1" ht="12.75">
      <c r="A78" s="308" t="s">
        <v>17</v>
      </c>
      <c r="B78" s="174" t="s">
        <v>833</v>
      </c>
      <c r="C78" s="301"/>
      <c r="D78" s="307"/>
      <c r="E78" s="310"/>
      <c r="F78" s="303"/>
      <c r="G78" s="301"/>
      <c r="H78" s="301"/>
      <c r="I78" s="301"/>
      <c r="J78" s="752">
        <v>254</v>
      </c>
      <c r="K78" s="753">
        <f t="shared" si="11"/>
        <v>254</v>
      </c>
    </row>
    <row r="79" spans="1:11" s="309" customFormat="1" ht="12.75">
      <c r="A79" s="308" t="s">
        <v>150</v>
      </c>
      <c r="B79" s="174" t="s">
        <v>834</v>
      </c>
      <c r="C79" s="301"/>
      <c r="D79" s="307"/>
      <c r="E79" s="310"/>
      <c r="F79" s="303"/>
      <c r="G79" s="301"/>
      <c r="H79" s="301"/>
      <c r="I79" s="301"/>
      <c r="J79" s="752">
        <v>101</v>
      </c>
      <c r="K79" s="753">
        <f t="shared" si="11"/>
        <v>101</v>
      </c>
    </row>
    <row r="80" spans="1:11" s="309" customFormat="1" ht="12.75">
      <c r="A80" s="308" t="s">
        <v>150</v>
      </c>
      <c r="B80" s="174"/>
      <c r="C80" s="301"/>
      <c r="D80" s="307"/>
      <c r="E80" s="310"/>
      <c r="F80" s="303"/>
      <c r="G80" s="687"/>
      <c r="H80" s="687"/>
      <c r="I80" s="687"/>
      <c r="J80" s="750"/>
      <c r="K80" s="751"/>
    </row>
    <row r="81" spans="1:11" s="309" customFormat="1" ht="12.75">
      <c r="A81" s="308" t="s">
        <v>150</v>
      </c>
      <c r="B81" s="304" t="s">
        <v>12</v>
      </c>
      <c r="C81" s="305">
        <f>SUM(C96,C83)</f>
        <v>31834</v>
      </c>
      <c r="D81" s="305">
        <f>SUM(D96,D83)</f>
        <v>0</v>
      </c>
      <c r="E81" s="305">
        <f>SUM(E96,E83)</f>
        <v>0</v>
      </c>
      <c r="F81" s="306">
        <f>SUM(F96,F83)</f>
        <v>0</v>
      </c>
      <c r="G81" s="305">
        <f>SUM(G96,G83)</f>
        <v>32481</v>
      </c>
      <c r="H81" s="305">
        <f>SUM(H96,H83,H99)</f>
        <v>-6182</v>
      </c>
      <c r="I81" s="305">
        <f>SUM(I96,I83,I99)</f>
        <v>26299</v>
      </c>
      <c r="J81" s="305">
        <f>SUM(J96,J83,J99)</f>
        <v>-417</v>
      </c>
      <c r="K81" s="756">
        <f>SUM(K96,K83,K99)</f>
        <v>25882</v>
      </c>
    </row>
    <row r="82" spans="1:11" s="309" customFormat="1" ht="12.75">
      <c r="A82" s="308" t="s">
        <v>17</v>
      </c>
      <c r="B82" s="304"/>
      <c r="C82" s="305"/>
      <c r="D82" s="307"/>
      <c r="E82" s="310"/>
      <c r="F82" s="306"/>
      <c r="G82" s="687"/>
      <c r="H82" s="687"/>
      <c r="I82" s="687"/>
      <c r="J82" s="750"/>
      <c r="K82" s="751"/>
    </row>
    <row r="83" spans="1:11" s="309" customFormat="1" ht="13.5">
      <c r="A83" s="308"/>
      <c r="B83" s="311" t="s">
        <v>556</v>
      </c>
      <c r="C83" s="312">
        <f aca="true" t="shared" si="12" ref="C83:H83">SUM(C84:C92)</f>
        <v>31643</v>
      </c>
      <c r="D83" s="312">
        <f t="shared" si="12"/>
        <v>0</v>
      </c>
      <c r="E83" s="312">
        <f t="shared" si="12"/>
        <v>0</v>
      </c>
      <c r="F83" s="313">
        <f t="shared" si="12"/>
        <v>0</v>
      </c>
      <c r="G83" s="312">
        <f>SUM(G84:G93)</f>
        <v>32290</v>
      </c>
      <c r="H83" s="312">
        <f t="shared" si="12"/>
        <v>-6752</v>
      </c>
      <c r="I83" s="312">
        <f>SUM(I84:I93)</f>
        <v>25538</v>
      </c>
      <c r="J83" s="312">
        <f>SUM(J84:J94)</f>
        <v>-504</v>
      </c>
      <c r="K83" s="759">
        <f>SUM(K84:K94)</f>
        <v>25034</v>
      </c>
    </row>
    <row r="84" spans="1:11" s="309" customFormat="1" ht="12.75">
      <c r="A84" s="308"/>
      <c r="B84" s="174" t="s">
        <v>41</v>
      </c>
      <c r="C84" s="301">
        <v>226</v>
      </c>
      <c r="D84" s="307"/>
      <c r="E84" s="310"/>
      <c r="F84" s="303"/>
      <c r="G84" s="301">
        <f>C84+F84</f>
        <v>226</v>
      </c>
      <c r="H84" s="301"/>
      <c r="I84" s="301">
        <f>G84+H84</f>
        <v>226</v>
      </c>
      <c r="J84" s="752"/>
      <c r="K84" s="753">
        <f>I84+J84</f>
        <v>226</v>
      </c>
    </row>
    <row r="85" spans="1:11" s="315" customFormat="1" ht="12.75">
      <c r="A85" s="314"/>
      <c r="B85" s="174" t="s">
        <v>42</v>
      </c>
      <c r="C85" s="301">
        <v>1270</v>
      </c>
      <c r="D85" s="307"/>
      <c r="E85" s="310"/>
      <c r="F85" s="303"/>
      <c r="G85" s="301">
        <f aca="true" t="shared" si="13" ref="G85:G92">C85+F85</f>
        <v>1270</v>
      </c>
      <c r="H85" s="301"/>
      <c r="I85" s="301">
        <f aca="true" t="shared" si="14" ref="I85:I92">G85+H85</f>
        <v>1270</v>
      </c>
      <c r="J85" s="752"/>
      <c r="K85" s="753">
        <f aca="true" t="shared" si="15" ref="K85:K94">I85+J85</f>
        <v>1270</v>
      </c>
    </row>
    <row r="86" spans="1:11" s="309" customFormat="1" ht="12.75">
      <c r="A86" s="308"/>
      <c r="B86" s="174" t="s">
        <v>43</v>
      </c>
      <c r="C86" s="301">
        <v>762</v>
      </c>
      <c r="D86" s="307"/>
      <c r="E86" s="310"/>
      <c r="F86" s="303"/>
      <c r="G86" s="301">
        <f t="shared" si="13"/>
        <v>762</v>
      </c>
      <c r="H86" s="301"/>
      <c r="I86" s="301">
        <f t="shared" si="14"/>
        <v>762</v>
      </c>
      <c r="J86" s="752"/>
      <c r="K86" s="753">
        <f t="shared" si="15"/>
        <v>762</v>
      </c>
    </row>
    <row r="87" spans="1:11" s="309" customFormat="1" ht="12.75">
      <c r="A87" s="308"/>
      <c r="B87" s="174" t="s">
        <v>523</v>
      </c>
      <c r="C87" s="301">
        <v>10000</v>
      </c>
      <c r="D87" s="307"/>
      <c r="E87" s="310"/>
      <c r="F87" s="303"/>
      <c r="G87" s="301">
        <f t="shared" si="13"/>
        <v>10000</v>
      </c>
      <c r="H87" s="301"/>
      <c r="I87" s="301">
        <f t="shared" si="14"/>
        <v>10000</v>
      </c>
      <c r="J87" s="752"/>
      <c r="K87" s="753">
        <f t="shared" si="15"/>
        <v>10000</v>
      </c>
    </row>
    <row r="88" spans="1:11" s="315" customFormat="1" ht="12.75">
      <c r="A88" s="314"/>
      <c r="B88" s="174" t="s">
        <v>44</v>
      </c>
      <c r="C88" s="301">
        <v>3500</v>
      </c>
      <c r="D88" s="307"/>
      <c r="E88" s="310"/>
      <c r="F88" s="303"/>
      <c r="G88" s="301">
        <f t="shared" si="13"/>
        <v>3500</v>
      </c>
      <c r="H88" s="301">
        <v>-474</v>
      </c>
      <c r="I88" s="301">
        <f t="shared" si="14"/>
        <v>3026</v>
      </c>
      <c r="J88" s="752"/>
      <c r="K88" s="753">
        <f t="shared" si="15"/>
        <v>3026</v>
      </c>
    </row>
    <row r="89" spans="1:11" s="309" customFormat="1" ht="12.75">
      <c r="A89" s="308"/>
      <c r="B89" s="174" t="s">
        <v>45</v>
      </c>
      <c r="C89" s="301">
        <v>50</v>
      </c>
      <c r="D89" s="307"/>
      <c r="E89" s="310"/>
      <c r="F89" s="303"/>
      <c r="G89" s="301">
        <f t="shared" si="13"/>
        <v>50</v>
      </c>
      <c r="H89" s="301"/>
      <c r="I89" s="301">
        <f t="shared" si="14"/>
        <v>50</v>
      </c>
      <c r="J89" s="752"/>
      <c r="K89" s="753">
        <f t="shared" si="15"/>
        <v>50</v>
      </c>
    </row>
    <row r="90" spans="1:11" s="309" customFormat="1" ht="12.75">
      <c r="A90" s="308"/>
      <c r="B90" s="174" t="s">
        <v>46</v>
      </c>
      <c r="C90" s="301">
        <v>300</v>
      </c>
      <c r="D90" s="307"/>
      <c r="E90" s="310"/>
      <c r="F90" s="303"/>
      <c r="G90" s="301">
        <f t="shared" si="13"/>
        <v>300</v>
      </c>
      <c r="H90" s="301"/>
      <c r="I90" s="301">
        <f t="shared" si="14"/>
        <v>300</v>
      </c>
      <c r="J90" s="752">
        <v>-156</v>
      </c>
      <c r="K90" s="753">
        <f t="shared" si="15"/>
        <v>144</v>
      </c>
    </row>
    <row r="91" spans="2:11" ht="12.75">
      <c r="B91" s="174" t="s">
        <v>47</v>
      </c>
      <c r="C91" s="301">
        <v>600</v>
      </c>
      <c r="D91" s="307"/>
      <c r="E91" s="310"/>
      <c r="F91" s="303"/>
      <c r="G91" s="301">
        <f t="shared" si="13"/>
        <v>600</v>
      </c>
      <c r="H91" s="301"/>
      <c r="I91" s="301">
        <f t="shared" si="14"/>
        <v>600</v>
      </c>
      <c r="J91" s="752">
        <v>-353</v>
      </c>
      <c r="K91" s="753">
        <f t="shared" si="15"/>
        <v>247</v>
      </c>
    </row>
    <row r="92" spans="1:11" s="309" customFormat="1" ht="12.75">
      <c r="A92" s="308"/>
      <c r="B92" s="174" t="s">
        <v>308</v>
      </c>
      <c r="C92" s="301">
        <v>14935</v>
      </c>
      <c r="D92" s="307"/>
      <c r="E92" s="310"/>
      <c r="F92" s="303"/>
      <c r="G92" s="301">
        <f t="shared" si="13"/>
        <v>14935</v>
      </c>
      <c r="H92" s="301">
        <v>-6278</v>
      </c>
      <c r="I92" s="301">
        <f t="shared" si="14"/>
        <v>8657</v>
      </c>
      <c r="J92" s="752"/>
      <c r="K92" s="753">
        <f t="shared" si="15"/>
        <v>8657</v>
      </c>
    </row>
    <row r="93" spans="1:11" s="309" customFormat="1" ht="12.75">
      <c r="A93" s="308"/>
      <c r="B93" s="174" t="s">
        <v>776</v>
      </c>
      <c r="C93" s="301"/>
      <c r="D93" s="307"/>
      <c r="E93" s="310"/>
      <c r="F93" s="303"/>
      <c r="G93" s="301">
        <v>647</v>
      </c>
      <c r="H93" s="301"/>
      <c r="I93" s="301">
        <v>647</v>
      </c>
      <c r="J93" s="752"/>
      <c r="K93" s="753">
        <f t="shared" si="15"/>
        <v>647</v>
      </c>
    </row>
    <row r="94" spans="1:11" s="309" customFormat="1" ht="12.75">
      <c r="A94" s="308"/>
      <c r="B94" s="174" t="s">
        <v>835</v>
      </c>
      <c r="C94" s="301"/>
      <c r="D94" s="307"/>
      <c r="E94" s="310"/>
      <c r="F94" s="303"/>
      <c r="G94" s="301"/>
      <c r="H94" s="301"/>
      <c r="I94" s="301"/>
      <c r="J94" s="752">
        <v>5</v>
      </c>
      <c r="K94" s="753">
        <f t="shared" si="15"/>
        <v>5</v>
      </c>
    </row>
    <row r="95" spans="1:11" s="309" customFormat="1" ht="12.75">
      <c r="A95" s="308"/>
      <c r="B95" s="174"/>
      <c r="C95" s="301"/>
      <c r="D95" s="307"/>
      <c r="E95" s="310"/>
      <c r="F95" s="303"/>
      <c r="G95" s="687"/>
      <c r="H95" s="687"/>
      <c r="I95" s="687"/>
      <c r="J95" s="750"/>
      <c r="K95" s="751"/>
    </row>
    <row r="96" spans="1:11" s="309" customFormat="1" ht="13.5">
      <c r="A96" s="308"/>
      <c r="B96" s="311" t="s">
        <v>558</v>
      </c>
      <c r="C96" s="312">
        <f aca="true" t="shared" si="16" ref="C96:K96">SUM(C97)</f>
        <v>191</v>
      </c>
      <c r="D96" s="312">
        <f t="shared" si="16"/>
        <v>0</v>
      </c>
      <c r="E96" s="312">
        <f t="shared" si="16"/>
        <v>0</v>
      </c>
      <c r="F96" s="313">
        <f t="shared" si="16"/>
        <v>0</v>
      </c>
      <c r="G96" s="312">
        <f t="shared" si="16"/>
        <v>191</v>
      </c>
      <c r="H96" s="312">
        <f t="shared" si="16"/>
        <v>0</v>
      </c>
      <c r="I96" s="312">
        <f t="shared" si="16"/>
        <v>191</v>
      </c>
      <c r="J96" s="312">
        <f t="shared" si="16"/>
        <v>-163</v>
      </c>
      <c r="K96" s="759">
        <f t="shared" si="16"/>
        <v>28</v>
      </c>
    </row>
    <row r="97" spans="1:11" s="309" customFormat="1" ht="12.75">
      <c r="A97" s="308"/>
      <c r="B97" s="174" t="s">
        <v>559</v>
      </c>
      <c r="C97" s="301">
        <v>191</v>
      </c>
      <c r="D97" s="307"/>
      <c r="E97" s="310"/>
      <c r="F97" s="303"/>
      <c r="G97" s="301">
        <f>C97+F97</f>
        <v>191</v>
      </c>
      <c r="H97" s="301"/>
      <c r="I97" s="301">
        <f>G97+H97</f>
        <v>191</v>
      </c>
      <c r="J97" s="752">
        <v>-163</v>
      </c>
      <c r="K97" s="753">
        <f>I97+J97</f>
        <v>28</v>
      </c>
    </row>
    <row r="98" spans="1:11" s="309" customFormat="1" ht="12.75">
      <c r="A98" s="308"/>
      <c r="B98" s="174"/>
      <c r="C98" s="301"/>
      <c r="D98" s="307"/>
      <c r="E98" s="310"/>
      <c r="F98" s="303"/>
      <c r="G98" s="301"/>
      <c r="H98" s="301"/>
      <c r="I98" s="301"/>
      <c r="J98" s="752"/>
      <c r="K98" s="751"/>
    </row>
    <row r="99" spans="1:11" s="309" customFormat="1" ht="13.5">
      <c r="A99" s="308"/>
      <c r="B99" s="311" t="s">
        <v>557</v>
      </c>
      <c r="C99" s="312"/>
      <c r="D99" s="312"/>
      <c r="E99" s="312"/>
      <c r="F99" s="313"/>
      <c r="G99" s="312"/>
      <c r="H99" s="312">
        <f>SUM(H100)</f>
        <v>570</v>
      </c>
      <c r="I99" s="312">
        <f>SUM(I100)</f>
        <v>570</v>
      </c>
      <c r="J99" s="312">
        <f>SUM(J100)</f>
        <v>250</v>
      </c>
      <c r="K99" s="759">
        <f>SUM(K100)</f>
        <v>820</v>
      </c>
    </row>
    <row r="100" spans="1:11" s="309" customFormat="1" ht="12.75">
      <c r="A100" s="308"/>
      <c r="B100" s="174" t="s">
        <v>559</v>
      </c>
      <c r="C100" s="301"/>
      <c r="D100" s="307"/>
      <c r="E100" s="310"/>
      <c r="F100" s="303"/>
      <c r="G100" s="301"/>
      <c r="H100" s="301">
        <v>570</v>
      </c>
      <c r="I100" s="301">
        <f>G100+H100</f>
        <v>570</v>
      </c>
      <c r="J100" s="752">
        <v>250</v>
      </c>
      <c r="K100" s="753">
        <f>I100+J100</f>
        <v>820</v>
      </c>
    </row>
    <row r="101" spans="1:11" s="309" customFormat="1" ht="12.75">
      <c r="A101" s="308"/>
      <c r="B101" s="174"/>
      <c r="C101" s="301"/>
      <c r="D101" s="307"/>
      <c r="E101" s="310"/>
      <c r="F101" s="303"/>
      <c r="G101" s="687"/>
      <c r="H101" s="687"/>
      <c r="I101" s="687"/>
      <c r="J101" s="750"/>
      <c r="K101" s="751"/>
    </row>
    <row r="102" spans="1:11" s="309" customFormat="1" ht="12.75">
      <c r="A102" s="308"/>
      <c r="B102" s="304" t="s">
        <v>13</v>
      </c>
      <c r="C102" s="305">
        <f>SUM(C103:C110)</f>
        <v>12903</v>
      </c>
      <c r="D102" s="305">
        <f>SUM(D103:D110)</f>
        <v>0</v>
      </c>
      <c r="E102" s="305">
        <f>SUM(E103:E110)</f>
        <v>0</v>
      </c>
      <c r="F102" s="306">
        <f>SUM(F103:F117)</f>
        <v>26361</v>
      </c>
      <c r="G102" s="305">
        <f>SUM(G103:G118)</f>
        <v>39909</v>
      </c>
      <c r="H102" s="305">
        <f>SUM(H103:H118)</f>
        <v>5344</v>
      </c>
      <c r="I102" s="305">
        <f>SUM(I103:I118)</f>
        <v>45253</v>
      </c>
      <c r="J102" s="305">
        <f>SUM(J103:J118)</f>
        <v>2975</v>
      </c>
      <c r="K102" s="756">
        <f>SUM(K103:K118)</f>
        <v>48228</v>
      </c>
    </row>
    <row r="103" spans="1:11" s="309" customFormat="1" ht="12.75">
      <c r="A103" s="308"/>
      <c r="B103" s="174" t="s">
        <v>540</v>
      </c>
      <c r="C103" s="301">
        <v>830</v>
      </c>
      <c r="D103" s="307"/>
      <c r="E103" s="310"/>
      <c r="F103" s="303"/>
      <c r="G103" s="301">
        <f>C103+F103</f>
        <v>830</v>
      </c>
      <c r="H103" s="301"/>
      <c r="I103" s="301">
        <f>G103+H103</f>
        <v>830</v>
      </c>
      <c r="J103" s="752"/>
      <c r="K103" s="754">
        <f>I103+J103</f>
        <v>830</v>
      </c>
    </row>
    <row r="104" spans="1:11" s="309" customFormat="1" ht="12.75">
      <c r="A104" s="308"/>
      <c r="B104" s="174" t="s">
        <v>777</v>
      </c>
      <c r="C104" s="301"/>
      <c r="D104" s="307"/>
      <c r="E104" s="310"/>
      <c r="F104" s="303"/>
      <c r="G104" s="301"/>
      <c r="H104" s="301">
        <v>12</v>
      </c>
      <c r="I104" s="301">
        <f>G104+H104</f>
        <v>12</v>
      </c>
      <c r="J104" s="752"/>
      <c r="K104" s="754">
        <f aca="true" t="shared" si="17" ref="K104:K118">I104+J104</f>
        <v>12</v>
      </c>
    </row>
    <row r="105" spans="1:11" s="309" customFormat="1" ht="12.75">
      <c r="A105" s="308"/>
      <c r="B105" s="174" t="s">
        <v>515</v>
      </c>
      <c r="C105" s="301">
        <v>2000</v>
      </c>
      <c r="D105" s="307"/>
      <c r="E105" s="310"/>
      <c r="F105" s="303"/>
      <c r="G105" s="301">
        <f aca="true" t="shared" si="18" ref="G105:G117">C105+F105</f>
        <v>2000</v>
      </c>
      <c r="H105" s="301"/>
      <c r="I105" s="301">
        <f aca="true" t="shared" si="19" ref="I105:I118">G105+H105</f>
        <v>2000</v>
      </c>
      <c r="J105" s="752"/>
      <c r="K105" s="754">
        <f t="shared" si="17"/>
        <v>2000</v>
      </c>
    </row>
    <row r="106" spans="1:11" s="309" customFormat="1" ht="12.75">
      <c r="A106" s="308"/>
      <c r="B106" s="174" t="s">
        <v>516</v>
      </c>
      <c r="C106" s="301">
        <v>760</v>
      </c>
      <c r="D106" s="307"/>
      <c r="E106" s="310"/>
      <c r="F106" s="303"/>
      <c r="G106" s="301">
        <f t="shared" si="18"/>
        <v>760</v>
      </c>
      <c r="H106" s="301"/>
      <c r="I106" s="301">
        <f t="shared" si="19"/>
        <v>760</v>
      </c>
      <c r="J106" s="752"/>
      <c r="K106" s="754">
        <f t="shared" si="17"/>
        <v>760</v>
      </c>
    </row>
    <row r="107" spans="1:11" s="309" customFormat="1" ht="12.75">
      <c r="A107" s="308"/>
      <c r="B107" s="174" t="s">
        <v>544</v>
      </c>
      <c r="C107" s="301">
        <v>900</v>
      </c>
      <c r="D107" s="307"/>
      <c r="E107" s="310"/>
      <c r="F107" s="303"/>
      <c r="G107" s="301">
        <f t="shared" si="18"/>
        <v>900</v>
      </c>
      <c r="H107" s="301">
        <v>100</v>
      </c>
      <c r="I107" s="301">
        <f t="shared" si="19"/>
        <v>1000</v>
      </c>
      <c r="J107" s="752">
        <v>50</v>
      </c>
      <c r="K107" s="754">
        <f t="shared" si="17"/>
        <v>1050</v>
      </c>
    </row>
    <row r="108" spans="1:11" s="309" customFormat="1" ht="25.5">
      <c r="A108" s="308"/>
      <c r="B108" s="174" t="s">
        <v>539</v>
      </c>
      <c r="C108" s="301">
        <v>1293</v>
      </c>
      <c r="D108" s="307"/>
      <c r="E108" s="310"/>
      <c r="F108" s="303">
        <f>800+651</f>
        <v>1451</v>
      </c>
      <c r="G108" s="301">
        <f t="shared" si="18"/>
        <v>2744</v>
      </c>
      <c r="H108" s="301"/>
      <c r="I108" s="301">
        <f t="shared" si="19"/>
        <v>2744</v>
      </c>
      <c r="J108" s="752">
        <v>-250</v>
      </c>
      <c r="K108" s="754">
        <f t="shared" si="17"/>
        <v>2494</v>
      </c>
    </row>
    <row r="109" spans="1:11" s="300" customFormat="1" ht="12.75">
      <c r="A109" s="294"/>
      <c r="B109" s="174" t="s">
        <v>679</v>
      </c>
      <c r="C109" s="301">
        <v>6120</v>
      </c>
      <c r="D109" s="307"/>
      <c r="E109" s="310"/>
      <c r="F109" s="303">
        <v>200</v>
      </c>
      <c r="G109" s="301">
        <f t="shared" si="18"/>
        <v>6320</v>
      </c>
      <c r="H109" s="301"/>
      <c r="I109" s="301">
        <f t="shared" si="19"/>
        <v>6320</v>
      </c>
      <c r="J109" s="752"/>
      <c r="K109" s="754">
        <f t="shared" si="17"/>
        <v>6320</v>
      </c>
    </row>
    <row r="110" spans="1:11" s="300" customFormat="1" ht="12.75">
      <c r="A110" s="294"/>
      <c r="B110" s="174" t="s">
        <v>541</v>
      </c>
      <c r="C110" s="301">
        <v>1000</v>
      </c>
      <c r="D110" s="307"/>
      <c r="E110" s="310"/>
      <c r="F110" s="303"/>
      <c r="G110" s="301">
        <f t="shared" si="18"/>
        <v>1000</v>
      </c>
      <c r="H110" s="301"/>
      <c r="I110" s="301">
        <f t="shared" si="19"/>
        <v>1000</v>
      </c>
      <c r="J110" s="752"/>
      <c r="K110" s="754">
        <f t="shared" si="17"/>
        <v>1000</v>
      </c>
    </row>
    <row r="111" spans="1:11" s="300" customFormat="1" ht="12.75">
      <c r="A111" s="294"/>
      <c r="B111" s="174" t="s">
        <v>680</v>
      </c>
      <c r="C111" s="301"/>
      <c r="D111" s="307"/>
      <c r="E111" s="310"/>
      <c r="F111" s="303">
        <v>313</v>
      </c>
      <c r="G111" s="301">
        <f t="shared" si="18"/>
        <v>313</v>
      </c>
      <c r="H111" s="301"/>
      <c r="I111" s="301">
        <f t="shared" si="19"/>
        <v>313</v>
      </c>
      <c r="J111" s="752">
        <v>80</v>
      </c>
      <c r="K111" s="754">
        <f t="shared" si="17"/>
        <v>393</v>
      </c>
    </row>
    <row r="112" spans="1:11" s="300" customFormat="1" ht="12.75">
      <c r="A112" s="294"/>
      <c r="B112" s="174" t="s">
        <v>681</v>
      </c>
      <c r="C112" s="301"/>
      <c r="D112" s="307"/>
      <c r="E112" s="310"/>
      <c r="F112" s="303">
        <v>454</v>
      </c>
      <c r="G112" s="301">
        <f t="shared" si="18"/>
        <v>454</v>
      </c>
      <c r="H112" s="301">
        <v>640</v>
      </c>
      <c r="I112" s="301">
        <f t="shared" si="19"/>
        <v>1094</v>
      </c>
      <c r="J112" s="752">
        <f>475+60</f>
        <v>535</v>
      </c>
      <c r="K112" s="754">
        <f t="shared" si="17"/>
        <v>1629</v>
      </c>
    </row>
    <row r="113" spans="1:11" s="322" customFormat="1" ht="12.75">
      <c r="A113" s="320"/>
      <c r="B113" s="174" t="s">
        <v>778</v>
      </c>
      <c r="C113" s="301"/>
      <c r="D113" s="307"/>
      <c r="E113" s="310"/>
      <c r="F113" s="303"/>
      <c r="G113" s="301"/>
      <c r="H113" s="301">
        <v>305</v>
      </c>
      <c r="I113" s="301">
        <f t="shared" si="19"/>
        <v>305</v>
      </c>
      <c r="J113" s="752">
        <v>300</v>
      </c>
      <c r="K113" s="754">
        <f t="shared" si="17"/>
        <v>605</v>
      </c>
    </row>
    <row r="114" spans="2:11" ht="12.75">
      <c r="B114" s="174" t="s">
        <v>779</v>
      </c>
      <c r="C114" s="301"/>
      <c r="D114" s="307"/>
      <c r="E114" s="310"/>
      <c r="F114" s="303"/>
      <c r="G114" s="301"/>
      <c r="H114" s="301">
        <v>180</v>
      </c>
      <c r="I114" s="301">
        <f t="shared" si="19"/>
        <v>180</v>
      </c>
      <c r="J114" s="752">
        <v>1000</v>
      </c>
      <c r="K114" s="754">
        <f t="shared" si="17"/>
        <v>1180</v>
      </c>
    </row>
    <row r="115" spans="1:11" s="293" customFormat="1" ht="12.75" customHeight="1">
      <c r="A115" s="325" t="s">
        <v>17</v>
      </c>
      <c r="B115" s="174" t="s">
        <v>780</v>
      </c>
      <c r="C115" s="301"/>
      <c r="D115" s="307"/>
      <c r="E115" s="310"/>
      <c r="F115" s="303"/>
      <c r="G115" s="301"/>
      <c r="H115" s="301">
        <v>109</v>
      </c>
      <c r="I115" s="301">
        <f t="shared" si="19"/>
        <v>109</v>
      </c>
      <c r="J115" s="752">
        <v>750</v>
      </c>
      <c r="K115" s="754">
        <f t="shared" si="17"/>
        <v>859</v>
      </c>
    </row>
    <row r="116" spans="1:11" s="293" customFormat="1" ht="12.75" customHeight="1">
      <c r="A116" s="325" t="s">
        <v>49</v>
      </c>
      <c r="B116" s="174" t="s">
        <v>682</v>
      </c>
      <c r="C116" s="301"/>
      <c r="D116" s="307"/>
      <c r="E116" s="310"/>
      <c r="F116" s="303">
        <v>200</v>
      </c>
      <c r="G116" s="301">
        <f t="shared" si="18"/>
        <v>200</v>
      </c>
      <c r="H116" s="301">
        <f>198+200</f>
        <v>398</v>
      </c>
      <c r="I116" s="301">
        <f t="shared" si="19"/>
        <v>598</v>
      </c>
      <c r="J116" s="752">
        <v>510</v>
      </c>
      <c r="K116" s="754">
        <f t="shared" si="17"/>
        <v>1108</v>
      </c>
    </row>
    <row r="117" spans="1:11" s="293" customFormat="1" ht="12.75" customHeight="1">
      <c r="A117" s="325" t="s">
        <v>57</v>
      </c>
      <c r="B117" s="174" t="s">
        <v>683</v>
      </c>
      <c r="C117" s="301"/>
      <c r="D117" s="307"/>
      <c r="E117" s="310"/>
      <c r="F117" s="303">
        <f>8382+1961+13400</f>
        <v>23743</v>
      </c>
      <c r="G117" s="301">
        <f t="shared" si="18"/>
        <v>23743</v>
      </c>
      <c r="H117" s="301">
        <f>900+2700</f>
        <v>3600</v>
      </c>
      <c r="I117" s="301">
        <f t="shared" si="19"/>
        <v>27343</v>
      </c>
      <c r="J117" s="752"/>
      <c r="K117" s="754">
        <f t="shared" si="17"/>
        <v>27343</v>
      </c>
    </row>
    <row r="118" spans="1:11" s="293" customFormat="1" ht="12.75" customHeight="1">
      <c r="A118" s="325" t="s">
        <v>64</v>
      </c>
      <c r="B118" s="174" t="s">
        <v>732</v>
      </c>
      <c r="C118" s="301"/>
      <c r="D118" s="307"/>
      <c r="E118" s="310"/>
      <c r="F118" s="303"/>
      <c r="G118" s="301">
        <v>645</v>
      </c>
      <c r="H118" s="301"/>
      <c r="I118" s="301">
        <f t="shared" si="19"/>
        <v>645</v>
      </c>
      <c r="J118" s="752"/>
      <c r="K118" s="754">
        <f t="shared" si="17"/>
        <v>645</v>
      </c>
    </row>
    <row r="119" spans="1:11" s="293" customFormat="1" ht="12.75" customHeight="1">
      <c r="A119" s="325" t="s">
        <v>65</v>
      </c>
      <c r="B119" s="304"/>
      <c r="C119" s="305"/>
      <c r="D119" s="307"/>
      <c r="E119" s="310"/>
      <c r="F119" s="306"/>
      <c r="G119" s="687"/>
      <c r="H119" s="687"/>
      <c r="I119" s="687"/>
      <c r="J119" s="750"/>
      <c r="K119" s="751"/>
    </row>
    <row r="120" spans="1:11" ht="12.75" customHeight="1">
      <c r="A120" s="325" t="s">
        <v>69</v>
      </c>
      <c r="B120" s="304" t="s">
        <v>14</v>
      </c>
      <c r="C120" s="305">
        <f aca="true" t="shared" si="20" ref="C120:K120">SUM(C121)</f>
        <v>8382</v>
      </c>
      <c r="D120" s="305">
        <f t="shared" si="20"/>
        <v>0</v>
      </c>
      <c r="E120" s="305">
        <f t="shared" si="20"/>
        <v>0</v>
      </c>
      <c r="F120" s="306">
        <f t="shared" si="20"/>
        <v>-8382</v>
      </c>
      <c r="G120" s="305">
        <f t="shared" si="20"/>
        <v>0</v>
      </c>
      <c r="H120" s="305">
        <f t="shared" si="20"/>
        <v>0</v>
      </c>
      <c r="I120" s="305">
        <f t="shared" si="20"/>
        <v>0</v>
      </c>
      <c r="J120" s="305">
        <f t="shared" si="20"/>
        <v>0</v>
      </c>
      <c r="K120" s="756">
        <f t="shared" si="20"/>
        <v>0</v>
      </c>
    </row>
    <row r="121" spans="1:11" ht="12.75" customHeight="1">
      <c r="A121" s="325" t="s">
        <v>149</v>
      </c>
      <c r="B121" s="174" t="s">
        <v>545</v>
      </c>
      <c r="C121" s="301">
        <v>8382</v>
      </c>
      <c r="D121" s="307"/>
      <c r="E121" s="316"/>
      <c r="F121" s="303">
        <v>-8382</v>
      </c>
      <c r="G121" s="301">
        <f>C121+F121</f>
        <v>0</v>
      </c>
      <c r="H121" s="301"/>
      <c r="I121" s="305">
        <f>G121+H121</f>
        <v>0</v>
      </c>
      <c r="J121" s="755"/>
      <c r="K121" s="756">
        <f>I121+J121</f>
        <v>0</v>
      </c>
    </row>
    <row r="122" spans="1:11" ht="12.75" customHeight="1">
      <c r="A122" s="325"/>
      <c r="B122" s="304"/>
      <c r="C122" s="305"/>
      <c r="D122" s="307"/>
      <c r="E122" s="316"/>
      <c r="F122" s="306"/>
      <c r="G122" s="688"/>
      <c r="H122" s="688"/>
      <c r="I122" s="688"/>
      <c r="J122" s="757"/>
      <c r="K122" s="758"/>
    </row>
    <row r="123" spans="1:11" ht="13.5" thickBot="1">
      <c r="A123" s="325"/>
      <c r="B123" s="317" t="s">
        <v>15</v>
      </c>
      <c r="C123" s="318">
        <f aca="true" t="shared" si="21" ref="C123:K123">SUM(C6,C102,C120,C81)</f>
        <v>2245365</v>
      </c>
      <c r="D123" s="318">
        <f t="shared" si="21"/>
        <v>1570612</v>
      </c>
      <c r="E123" s="318">
        <f t="shared" si="21"/>
        <v>355391</v>
      </c>
      <c r="F123" s="319">
        <f t="shared" si="21"/>
        <v>-74707</v>
      </c>
      <c r="G123" s="690">
        <f t="shared" si="21"/>
        <v>2171950</v>
      </c>
      <c r="H123" s="690">
        <f t="shared" si="21"/>
        <v>61513</v>
      </c>
      <c r="I123" s="690">
        <f t="shared" si="21"/>
        <v>2233463</v>
      </c>
      <c r="J123" s="690">
        <f t="shared" si="21"/>
        <v>-218858</v>
      </c>
      <c r="K123" s="760">
        <f t="shared" si="21"/>
        <v>2014605</v>
      </c>
    </row>
    <row r="124" spans="1:11" ht="12.75">
      <c r="A124" s="325"/>
      <c r="D124" s="321"/>
      <c r="E124" s="322"/>
      <c r="G124" s="323"/>
      <c r="H124" s="323"/>
      <c r="I124" s="323"/>
      <c r="J124" s="323"/>
      <c r="K124" s="323"/>
    </row>
    <row r="125" spans="1:4" ht="12.75">
      <c r="A125" s="325"/>
      <c r="B125" s="324"/>
      <c r="D125" s="321"/>
    </row>
    <row r="126" spans="1:6" ht="12.75" hidden="1">
      <c r="A126" s="325"/>
      <c r="B126" s="326">
        <f aca="true" t="shared" si="22" ref="B126:B132">SUMIF($A$8:$C$56,A126,$C$8:$C$56)</f>
        <v>0</v>
      </c>
      <c r="C126" s="327"/>
      <c r="D126" s="293"/>
      <c r="E126" s="293"/>
      <c r="F126" s="328"/>
    </row>
    <row r="127" spans="1:6" ht="12.75" hidden="1">
      <c r="A127" s="325"/>
      <c r="B127" s="326">
        <f t="shared" si="22"/>
        <v>0</v>
      </c>
      <c r="C127" s="327"/>
      <c r="D127" s="293"/>
      <c r="E127" s="293"/>
      <c r="F127" s="328"/>
    </row>
    <row r="128" spans="1:6" ht="12.75" hidden="1">
      <c r="A128" s="325"/>
      <c r="B128" s="326">
        <f t="shared" si="22"/>
        <v>0</v>
      </c>
      <c r="C128" s="327"/>
      <c r="D128" s="293"/>
      <c r="E128" s="293"/>
      <c r="F128" s="328"/>
    </row>
    <row r="129" spans="1:6" ht="12.75" hidden="1">
      <c r="A129" s="325"/>
      <c r="B129" s="326">
        <f t="shared" si="22"/>
        <v>0</v>
      </c>
      <c r="C129" s="327"/>
      <c r="D129" s="293"/>
      <c r="E129" s="293"/>
      <c r="F129" s="328"/>
    </row>
    <row r="130" spans="1:6" ht="12.75" hidden="1">
      <c r="A130" s="325"/>
      <c r="B130" s="326">
        <f t="shared" si="22"/>
        <v>0</v>
      </c>
      <c r="C130" s="327"/>
      <c r="D130" s="293"/>
      <c r="E130" s="293"/>
      <c r="F130" s="328"/>
    </row>
    <row r="131" spans="1:6" ht="12.75" hidden="1">
      <c r="A131" s="325"/>
      <c r="B131" s="326">
        <f t="shared" si="22"/>
        <v>0</v>
      </c>
      <c r="C131" s="327"/>
      <c r="D131" s="293"/>
      <c r="E131" s="293"/>
      <c r="F131" s="328"/>
    </row>
    <row r="132" spans="1:6" ht="12.75" hidden="1">
      <c r="A132" s="325"/>
      <c r="B132" s="326">
        <f t="shared" si="22"/>
        <v>0</v>
      </c>
      <c r="C132" s="327"/>
      <c r="D132" s="293"/>
      <c r="E132" s="293"/>
      <c r="F132" s="328"/>
    </row>
    <row r="133" spans="1:6" ht="12.75" hidden="1">
      <c r="A133" s="325"/>
      <c r="B133" s="326">
        <f>SUM(B126:B132)</f>
        <v>0</v>
      </c>
      <c r="C133" s="327"/>
      <c r="D133" s="293"/>
      <c r="E133" s="293"/>
      <c r="F133" s="328"/>
    </row>
    <row r="134" spans="1:6" ht="12.75">
      <c r="A134" s="325"/>
      <c r="B134" s="329"/>
      <c r="C134" s="327"/>
      <c r="D134" s="293"/>
      <c r="E134" s="293"/>
      <c r="F134" s="328"/>
    </row>
    <row r="135" spans="1:6" ht="12.75">
      <c r="A135" s="325"/>
      <c r="B135" s="329"/>
      <c r="C135" s="327"/>
      <c r="D135" s="293"/>
      <c r="E135" s="293"/>
      <c r="F135" s="328"/>
    </row>
    <row r="136" spans="1:6" ht="12.75">
      <c r="A136" s="325"/>
      <c r="B136" s="329"/>
      <c r="C136" s="327"/>
      <c r="D136" s="293"/>
      <c r="E136" s="293"/>
      <c r="F136" s="328"/>
    </row>
    <row r="137" spans="1:6" ht="12.75">
      <c r="A137" s="325"/>
      <c r="B137" s="329"/>
      <c r="C137" s="327"/>
      <c r="D137" s="293"/>
      <c r="E137" s="293"/>
      <c r="F137" s="328"/>
    </row>
    <row r="138" spans="1:6" ht="12.75">
      <c r="A138" s="325"/>
      <c r="B138" s="329"/>
      <c r="C138" s="327"/>
      <c r="D138" s="293"/>
      <c r="E138" s="293"/>
      <c r="F138" s="328"/>
    </row>
    <row r="139" spans="1:6" ht="12.75">
      <c r="A139" s="325"/>
      <c r="B139" s="329"/>
      <c r="C139" s="327"/>
      <c r="D139" s="293"/>
      <c r="E139" s="293"/>
      <c r="F139" s="328"/>
    </row>
    <row r="140" spans="1:6" ht="12.75">
      <c r="A140" s="325"/>
      <c r="B140" s="329"/>
      <c r="C140" s="327"/>
      <c r="D140" s="293"/>
      <c r="E140" s="293"/>
      <c r="F140" s="328"/>
    </row>
    <row r="141" spans="1:6" ht="12.75">
      <c r="A141" s="325"/>
      <c r="B141" s="329"/>
      <c r="C141" s="327"/>
      <c r="D141" s="293"/>
      <c r="E141" s="293"/>
      <c r="F141" s="328"/>
    </row>
    <row r="142" spans="1:6" ht="12.75">
      <c r="A142" s="325"/>
      <c r="B142" s="329"/>
      <c r="C142" s="327"/>
      <c r="D142" s="293"/>
      <c r="E142" s="293"/>
      <c r="F142" s="328"/>
    </row>
    <row r="143" spans="1:6" ht="12.75">
      <c r="A143" s="325"/>
      <c r="B143" s="329"/>
      <c r="C143" s="327"/>
      <c r="D143" s="293"/>
      <c r="E143" s="293"/>
      <c r="F143" s="328"/>
    </row>
    <row r="144" spans="1:6" ht="12.75">
      <c r="A144" s="325"/>
      <c r="B144" s="329"/>
      <c r="C144" s="327"/>
      <c r="D144" s="293"/>
      <c r="E144" s="293"/>
      <c r="F144" s="328"/>
    </row>
    <row r="145" spans="1:6" ht="12.75">
      <c r="A145" s="325"/>
      <c r="B145" s="329"/>
      <c r="C145" s="327"/>
      <c r="D145" s="293"/>
      <c r="E145" s="293"/>
      <c r="F145" s="328"/>
    </row>
    <row r="146" spans="1:6" ht="12.75">
      <c r="A146" s="325"/>
      <c r="B146" s="329"/>
      <c r="C146" s="327"/>
      <c r="D146" s="293"/>
      <c r="E146" s="293"/>
      <c r="F146" s="328"/>
    </row>
    <row r="147" spans="1:6" ht="12.75">
      <c r="A147" s="325"/>
      <c r="B147" s="329"/>
      <c r="C147" s="327"/>
      <c r="D147" s="293"/>
      <c r="E147" s="293"/>
      <c r="F147" s="328"/>
    </row>
    <row r="148" spans="1:6" ht="12.75">
      <c r="A148" s="325"/>
      <c r="B148" s="329"/>
      <c r="C148" s="327"/>
      <c r="D148" s="293"/>
      <c r="E148" s="293"/>
      <c r="F148" s="328"/>
    </row>
    <row r="149" spans="1:6" ht="12.75">
      <c r="A149" s="325"/>
      <c r="B149" s="329"/>
      <c r="C149" s="327"/>
      <c r="D149" s="293"/>
      <c r="E149" s="293"/>
      <c r="F149" s="328"/>
    </row>
    <row r="150" spans="1:6" ht="12.75">
      <c r="A150" s="325"/>
      <c r="B150" s="329"/>
      <c r="C150" s="327"/>
      <c r="D150" s="293"/>
      <c r="E150" s="293"/>
      <c r="F150" s="328"/>
    </row>
    <row r="151" spans="1:6" ht="12.75">
      <c r="A151" s="325"/>
      <c r="B151" s="329"/>
      <c r="C151" s="327"/>
      <c r="D151" s="293"/>
      <c r="E151" s="293"/>
      <c r="F151" s="328"/>
    </row>
    <row r="152" spans="1:6" ht="12.75">
      <c r="A152" s="325"/>
      <c r="B152" s="329"/>
      <c r="C152" s="327"/>
      <c r="D152" s="293"/>
      <c r="E152" s="293"/>
      <c r="F152" s="328"/>
    </row>
    <row r="153" spans="1:6" ht="12.75">
      <c r="A153" s="325"/>
      <c r="B153" s="329"/>
      <c r="C153" s="327"/>
      <c r="D153" s="293"/>
      <c r="E153" s="293"/>
      <c r="F153" s="328"/>
    </row>
    <row r="154" spans="1:6" ht="12.75">
      <c r="A154" s="325"/>
      <c r="B154" s="329"/>
      <c r="C154" s="327"/>
      <c r="D154" s="293"/>
      <c r="E154" s="293"/>
      <c r="F154" s="328"/>
    </row>
    <row r="155" spans="1:6" ht="12.75">
      <c r="A155" s="325"/>
      <c r="B155" s="329"/>
      <c r="C155" s="327"/>
      <c r="D155" s="293"/>
      <c r="E155" s="293"/>
      <c r="F155" s="328"/>
    </row>
    <row r="156" spans="1:6" ht="12.75">
      <c r="A156" s="325"/>
      <c r="B156" s="329"/>
      <c r="C156" s="327"/>
      <c r="D156" s="293"/>
      <c r="E156" s="293"/>
      <c r="F156" s="328"/>
    </row>
    <row r="157" spans="2:6" ht="12.75">
      <c r="B157" s="329"/>
      <c r="C157" s="327"/>
      <c r="D157" s="293"/>
      <c r="E157" s="293"/>
      <c r="F157" s="328"/>
    </row>
    <row r="158" spans="2:6" ht="12.75">
      <c r="B158" s="329"/>
      <c r="C158" s="327"/>
      <c r="D158" s="293"/>
      <c r="E158" s="293"/>
      <c r="F158" s="328"/>
    </row>
    <row r="159" spans="2:6" ht="12.75">
      <c r="B159" s="329"/>
      <c r="C159" s="327"/>
      <c r="D159" s="293"/>
      <c r="E159" s="293"/>
      <c r="F159" s="328"/>
    </row>
    <row r="160" spans="2:6" ht="12.75">
      <c r="B160" s="329"/>
      <c r="C160" s="327"/>
      <c r="D160" s="293"/>
      <c r="E160" s="293"/>
      <c r="F160" s="328"/>
    </row>
    <row r="161" spans="2:6" ht="12.75">
      <c r="B161" s="329"/>
      <c r="C161" s="327"/>
      <c r="D161" s="293"/>
      <c r="E161" s="293"/>
      <c r="F161" s="328"/>
    </row>
    <row r="162" spans="2:6" ht="12.75">
      <c r="B162" s="329"/>
      <c r="C162" s="327"/>
      <c r="D162" s="293"/>
      <c r="E162" s="293"/>
      <c r="F162" s="328"/>
    </row>
    <row r="163" spans="2:6" ht="12.75">
      <c r="B163" s="329"/>
      <c r="C163" s="327"/>
      <c r="D163" s="293"/>
      <c r="E163" s="293"/>
      <c r="F163" s="328"/>
    </row>
    <row r="164" spans="2:6" ht="12.75">
      <c r="B164" s="329"/>
      <c r="C164" s="327"/>
      <c r="D164" s="293"/>
      <c r="E164" s="293"/>
      <c r="F164" s="328"/>
    </row>
    <row r="165" spans="2:6" ht="12.75">
      <c r="B165" s="329"/>
      <c r="C165" s="327"/>
      <c r="D165" s="293"/>
      <c r="E165" s="293"/>
      <c r="F165" s="328"/>
    </row>
    <row r="166" spans="2:6" ht="12.75">
      <c r="B166" s="329"/>
      <c r="C166" s="327"/>
      <c r="D166" s="293"/>
      <c r="E166" s="293"/>
      <c r="F166" s="328"/>
    </row>
    <row r="167" spans="4:5" ht="12.75">
      <c r="D167" s="293"/>
      <c r="E167" s="293"/>
    </row>
  </sheetData>
  <sheetProtection password="CC05" sheet="1"/>
  <mergeCells count="2">
    <mergeCell ref="B1:K1"/>
    <mergeCell ref="B2:K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  <headerFooter alignWithMargins="0">
    <oddHeader>&amp;L8. melléklet a 28/2015.(XII.18.)   önkormányzati rendelethez
8. melléklet az 1/2015.(I.30.) önkormányzati rendelethez</oddHeader>
  </headerFooter>
  <rowBreaks count="1" manualBreakCount="1">
    <brk id="6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2015-12-10T10:55:59Z</cp:lastPrinted>
  <dcterms:created xsi:type="dcterms:W3CDTF">2014-01-10T08:24:40Z</dcterms:created>
  <dcterms:modified xsi:type="dcterms:W3CDTF">2015-12-17T08:01:23Z</dcterms:modified>
  <cp:category/>
  <cp:version/>
  <cp:contentType/>
  <cp:contentStatus/>
</cp:coreProperties>
</file>