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6255" firstSheet="12" activeTab="13"/>
  </bookViews>
  <sheets>
    <sheet name="1.sz. melléklet" sheetId="1" r:id="rId1"/>
    <sheet name="1.a1.b. melléklet" sheetId="2" r:id="rId2"/>
    <sheet name="2. sz. melléklet" sheetId="3" r:id="rId3"/>
    <sheet name="3.sz. melléklet" sheetId="4" r:id="rId4"/>
    <sheet name="4. sz. melléklet" sheetId="5" r:id="rId5"/>
    <sheet name="5. sz. melléklet" sheetId="6" r:id="rId6"/>
    <sheet name="6. sz. melléklet" sheetId="7" r:id="rId7"/>
    <sheet name="7. sz. melléklet" sheetId="8" r:id="rId8"/>
    <sheet name="8. sz. melléklet" sheetId="9" r:id="rId9"/>
    <sheet name="9. sz. melléklet" sheetId="10" r:id="rId10"/>
    <sheet name="10. sz. melléklet" sheetId="11" r:id="rId11"/>
    <sheet name="10-A melléklet-EU pályázatok" sheetId="12" r:id="rId12"/>
    <sheet name="11. sz. melléklet" sheetId="13" r:id="rId13"/>
    <sheet name="12. sz. melléklet" sheetId="14" r:id="rId14"/>
    <sheet name="13. sz. melléklet" sheetId="15" r:id="rId15"/>
    <sheet name="14. sz. melléklet" sheetId="16" r:id="rId16"/>
    <sheet name="15. sz. melléklet 1. oldal" sheetId="17" r:id="rId17"/>
    <sheet name="15. sz. melléklet 2. oldal" sheetId="18" r:id="rId18"/>
    <sheet name="16. sz. melléklet - normatíva" sheetId="19" r:id="rId19"/>
    <sheet name="17. sz. melléklet" sheetId="20" r:id="rId20"/>
    <sheet name="18. sz. melléklet" sheetId="21" r:id="rId21"/>
    <sheet name="19. sz. melléklet" sheetId="22" r:id="rId22"/>
    <sheet name="20. sz. melléklet" sheetId="23" r:id="rId23"/>
    <sheet name="21. sz. melléklet" sheetId="24" r:id="rId24"/>
    <sheet name="22. sz. melléklet" sheetId="25" r:id="rId25"/>
    <sheet name="23. sz. melléklet-pályázatok" sheetId="26" r:id="rId26"/>
    <sheet name="melléklet" sheetId="27" r:id="rId27"/>
  </sheets>
  <definedNames/>
  <calcPr fullCalcOnLoad="1"/>
</workbook>
</file>

<file path=xl/sharedStrings.xml><?xml version="1.0" encoding="utf-8"?>
<sst xmlns="http://schemas.openxmlformats.org/spreadsheetml/2006/main" count="2710" uniqueCount="1560">
  <si>
    <t xml:space="preserve"> - Bláthy Ottó Szakközépiskola, Szakiskola és Kollégium támpgatása</t>
  </si>
  <si>
    <t xml:space="preserve"> - Általános tartalék</t>
  </si>
  <si>
    <t xml:space="preserve"> -- Teleki László Alapítványnak "Veszélyeztetett örökség, veszélyeztetett kultúrák" konefernciára</t>
  </si>
  <si>
    <t xml:space="preserve"> -- Egressy Béni Zeneiskola Alapfokú Művészetoktatási Intézmény "In Memorian Vivaldi" koncertre</t>
  </si>
  <si>
    <t xml:space="preserve"> -- Moldvai Magyar Oktatásért Alapítványnak</t>
  </si>
  <si>
    <t xml:space="preserve"> -- Pro Minoritate Alapítványnak Csángó Bálra</t>
  </si>
  <si>
    <t xml:space="preserve"> - Lakossági közműfejlesztés támogatása</t>
  </si>
  <si>
    <t xml:space="preserve"> - Szent Kereszt Plébánia Hivatalnak a Tatai Római Katolikus Templom toronysüvegeinek felújítására</t>
  </si>
  <si>
    <t xml:space="preserve"> - Tatai Városkapu Zrt.-nek az intézmények energiaracionalizálása pályázattal kapcs. költségekre</t>
  </si>
  <si>
    <t xml:space="preserve"> - Vértes Volán Zrt.-nek felhalm. célú pénzeszközátadás</t>
  </si>
  <si>
    <t xml:space="preserve"> - Jenő malom megvásárlása</t>
  </si>
  <si>
    <t xml:space="preserve"> - Tatai Ipari Park és Logisztikai Kft. jegyzett tőke emelés</t>
  </si>
  <si>
    <t xml:space="preserve"> - Eötvös Gimnázium főépületének infrasuktúrális fejlesztése - pályázati önerő</t>
  </si>
  <si>
    <t xml:space="preserve"> - Fáklya u. felújítása - pályázati önerő KDOP-2009-4.2.1B</t>
  </si>
  <si>
    <t xml:space="preserve"> - Eötvös J. Gimnázium infrastuktúrális felújítása (pályázati előkészítés)</t>
  </si>
  <si>
    <t xml:space="preserve">Kölcsön </t>
  </si>
  <si>
    <t xml:space="preserve"> - Víz-Zene-Virág Fesztivál Egyesület</t>
  </si>
  <si>
    <t xml:space="preserve"> - Tatai Fényes Fürdő Kft</t>
  </si>
  <si>
    <t xml:space="preserve">Kölcsönvisszatérülés </t>
  </si>
  <si>
    <t xml:space="preserve"> - Víz-Zene-Virág Fesztivál</t>
  </si>
  <si>
    <t xml:space="preserve">Kölcsön nyújtásra </t>
  </si>
  <si>
    <t xml:space="preserve"> - Víz-Zene-Virág Fesztiválhoz </t>
  </si>
  <si>
    <t xml:space="preserve"> - Tatai Fényes Fürdő Kft. </t>
  </si>
  <si>
    <t>2009. év</t>
  </si>
  <si>
    <t xml:space="preserve"> - P.H. bútorbeszerzés (a felújított irodákba)</t>
  </si>
  <si>
    <t xml:space="preserve"> - Mansbarth Antal emléktábla</t>
  </si>
  <si>
    <t xml:space="preserve"> - Mindszenty tér 16. csapadékcsatorna</t>
  </si>
  <si>
    <t>Önkormányzati saját hatáskörben adott természetbeni ellátás</t>
  </si>
  <si>
    <t xml:space="preserve"> -- Tatai Kenderke Alapítvány</t>
  </si>
  <si>
    <t xml:space="preserve"> -- Tatai Mecénás Közalapítvány</t>
  </si>
  <si>
    <t xml:space="preserve"> - Választás - Szilágyi Ottó munkabére ÉGÁZ-DÉGÁZ</t>
  </si>
  <si>
    <t xml:space="preserve"> -- Tatai Kenderke Néptánc Egyesület</t>
  </si>
  <si>
    <t xml:space="preserve"> -- Magyary Zoltán Népfőiskolai Társaság</t>
  </si>
  <si>
    <t>Európai Parlamenti választás</t>
  </si>
  <si>
    <t>Előző évi pénzmaradvány átadása</t>
  </si>
  <si>
    <t>Mindösszesen</t>
  </si>
  <si>
    <t>Kiegyenlítő - függő - átfutó</t>
  </si>
  <si>
    <t xml:space="preserve"> - egyéb tárgyi eszköz értékesítés</t>
  </si>
  <si>
    <t>Előző évi visszatérítés</t>
  </si>
  <si>
    <t>Működési célra átvett pénzeszköz</t>
  </si>
  <si>
    <t>Fényes-fürdő Kft-nek nyújtott tagi kölcsön és a kamat eredménytartalékba helyezése</t>
  </si>
  <si>
    <t xml:space="preserve"> - Fényes-fürdő Kft-nek nyújtott tagi kölcsön és a kamat eredménytartalékba helyezése</t>
  </si>
  <si>
    <t>MS Közalapítvány megszűnése miatti számla egyenleg utalása</t>
  </si>
  <si>
    <t>Nemzetközi Visegrádi Alaptól</t>
  </si>
  <si>
    <t>Befektetési célú értékpapír értékesítés</t>
  </si>
  <si>
    <t>Ifj. referens bérére Szoc. és Munkaügyi Minisztérium</t>
  </si>
  <si>
    <t>Forgatási célú értékpapír értékesítés</t>
  </si>
  <si>
    <t>Egyéb tárgyi eszköz értékesítés</t>
  </si>
  <si>
    <t>Befektetési célú értékpapír értékesítése</t>
  </si>
  <si>
    <t>Központosított támogatás</t>
  </si>
  <si>
    <t>Kőkúti Általános Iskola</t>
  </si>
  <si>
    <t>Menner B. Zeneiskola</t>
  </si>
  <si>
    <t>Kötvénykibocsátásból rendelkezésre álló fejlesztési forrás felhasználás (E Ft-ban)</t>
  </si>
  <si>
    <t xml:space="preserve"> - Déli Ipari park feltáró út </t>
  </si>
  <si>
    <t>EU Parlementi választás</t>
  </si>
  <si>
    <t>853 136</t>
  </si>
  <si>
    <t>Gyermek- és ifjúságvédelmi feladatok</t>
  </si>
  <si>
    <t>Beruházási feladatok összesen:</t>
  </si>
  <si>
    <t>Felújítási feladatok összesen:</t>
  </si>
  <si>
    <t xml:space="preserve">Előző évi visszatérülés, pénzmaradvány átvétel </t>
  </si>
  <si>
    <t xml:space="preserve">Intézmények Gazdasági Hivatala </t>
  </si>
  <si>
    <t>Rendelkezésre állási támogatás</t>
  </si>
  <si>
    <t xml:space="preserve"> - Szent Kereszt Plébánia Hivatalnak a Tatai Római Katolikus Templom toronysüvegeinek felújítására kötvényből</t>
  </si>
  <si>
    <t>Mód.(X.28.)</t>
  </si>
  <si>
    <t>Tata Város Önkormányzatának 2009. évi bevételei forrásonként ( E Ft-ban)</t>
  </si>
  <si>
    <t>2009. évi működési célú bevételek és kiadások mérlege (E Ft-ban)</t>
  </si>
  <si>
    <t>2009. évi fejlesztési célú bevételek és kiadások mérlege (E Ft-ban)</t>
  </si>
  <si>
    <t xml:space="preserve"> Tata Város Önkormányzatának 2009.évi pénzforgalmi mérlege (E Ft-ban)</t>
  </si>
  <si>
    <t xml:space="preserve">Tata Város Önkormányzatának 2009. évi költségvetési kiadásai </t>
  </si>
  <si>
    <t>Polgármesteri Hivatal 2009. évi költségvetési terve (szakfeladatok és kiemelt előirányzatok szerinti bontásban)</t>
  </si>
  <si>
    <t>2009. évi beruházási kiadások feladatonként (ÁFA-val)</t>
  </si>
  <si>
    <t>2009. Év</t>
  </si>
  <si>
    <t xml:space="preserve">Személyi jellegű </t>
  </si>
  <si>
    <t>Pénzeszköz</t>
  </si>
  <si>
    <t>előirányzatosítva</t>
  </si>
  <si>
    <t>Működésre</t>
  </si>
  <si>
    <t>Felhalm.</t>
  </si>
  <si>
    <t>I. Polgármesteri Hivatal</t>
  </si>
  <si>
    <t>Ebből a kisebbségi maradvány:</t>
  </si>
  <si>
    <t xml:space="preserve"> - Cigány</t>
  </si>
  <si>
    <t xml:space="preserve"> - Lengyel</t>
  </si>
  <si>
    <t xml:space="preserve"> - Német</t>
  </si>
  <si>
    <t>II. Városi Rehab.Szakkór.és Rend.Int.</t>
  </si>
  <si>
    <t>III. Intézmények Gazdasági Hivatala:</t>
  </si>
  <si>
    <t>Önkormányzati pénzm.mindösszesen:</t>
  </si>
  <si>
    <t>Tata Város Önkormányzata</t>
  </si>
  <si>
    <t>Közvetett támogatások 2009. évi összege (E Ft-ban)</t>
  </si>
  <si>
    <t>1. Helyi adók, gépjárműadó:</t>
  </si>
  <si>
    <t>Önkormányzati döntés alapján (I-III)</t>
  </si>
  <si>
    <t>I. Adóelengedés</t>
  </si>
  <si>
    <t xml:space="preserve"> - jövedelemhez kötött mentesség</t>
  </si>
  <si>
    <t xml:space="preserve"> - lakás célú 30 m2 alatti zártkerti építmény</t>
  </si>
  <si>
    <t>2.) Iparűzési adó:</t>
  </si>
  <si>
    <t xml:space="preserve">  2 M Ft alatti vállalkozási szintű adóalap (2008. évi bevallás, előírásra sem került)</t>
  </si>
  <si>
    <t>Adóelengedés összesen:</t>
  </si>
  <si>
    <t>1.) Építményadó:</t>
  </si>
  <si>
    <t xml:space="preserve"> - üdülő lakás adómértékkel</t>
  </si>
  <si>
    <t>2.) Iparűzési adó</t>
  </si>
  <si>
    <t xml:space="preserve"> - aktivált beruházáshoz kapcsolódó</t>
  </si>
  <si>
    <t>Adókedvezmény összesen:</t>
  </si>
  <si>
    <t>III. Méltányossági eljárás keretében nyújtott adó,- pótlék,- és bírság elengedés, valamint fizetési könnyítés részletfizetésre, fizetési halasztásra vonatkozóan:</t>
  </si>
  <si>
    <r>
      <t>Részletfizetési kedvezmény:</t>
    </r>
    <r>
      <rPr>
        <sz val="10"/>
        <rFont val="Times New Roman CE"/>
        <family val="1"/>
      </rPr>
      <t xml:space="preserve"> </t>
    </r>
  </si>
  <si>
    <t xml:space="preserve"> - építményadó</t>
  </si>
  <si>
    <t xml:space="preserve"> - telekadó</t>
  </si>
  <si>
    <t xml:space="preserve"> - iparűzési adó</t>
  </si>
  <si>
    <t xml:space="preserve"> - késedelmi pótlék, bírság</t>
  </si>
  <si>
    <t xml:space="preserve"> - talajterhelési díj</t>
  </si>
  <si>
    <t>Részletfizetési kedvezmény összesen:</t>
  </si>
  <si>
    <t xml:space="preserve">Fizetési halasztás: </t>
  </si>
  <si>
    <t xml:space="preserve"> - idegenforgalmi adó</t>
  </si>
  <si>
    <t>Fizetési halasztás összesen:</t>
  </si>
  <si>
    <t>Összes közvetett támogatás helyi adóknál és gépjárműadónál:</t>
  </si>
  <si>
    <t>4. Ingatlan hasznosításból származó bevételből nyújtott kedvezmény, mentesség:</t>
  </si>
  <si>
    <t>Összes közvetett támogatás:</t>
  </si>
  <si>
    <t xml:space="preserve">Tata Város Önkormányzatának </t>
  </si>
  <si>
    <t>ESZKÖZÖK</t>
  </si>
  <si>
    <t>Előző évi kv. beszámoló záró adatai</t>
  </si>
  <si>
    <t>Auditálási eltérések   (+-)</t>
  </si>
  <si>
    <t xml:space="preserve">Előző évi aud. egyszerűsített beszámoló </t>
  </si>
  <si>
    <t>Tárgyévi kv. beszámoló adatai</t>
  </si>
  <si>
    <r>
      <t xml:space="preserve">Auditálási eltérések     </t>
    </r>
    <r>
      <rPr>
        <i/>
        <sz val="10"/>
        <rFont val="Times New Roman CE"/>
        <family val="1"/>
      </rPr>
      <t>(+-)</t>
    </r>
    <r>
      <rPr>
        <sz val="10"/>
        <rFont val="Times New Roman CE"/>
        <family val="1"/>
      </rPr>
      <t xml:space="preserve">        </t>
    </r>
  </si>
  <si>
    <t>Tárgyévi auditált  egysz. besz. adatai</t>
  </si>
  <si>
    <t>A)</t>
  </si>
  <si>
    <t>BEFEKTETETT ESZKÖZÖK ÖSSZESEN</t>
  </si>
  <si>
    <t>I.</t>
  </si>
  <si>
    <t>Immateriális javak</t>
  </si>
  <si>
    <t>II.</t>
  </si>
  <si>
    <t>Tárgyi eszközök</t>
  </si>
  <si>
    <t>III.</t>
  </si>
  <si>
    <t>Befektetett pénzügyi eszközök</t>
  </si>
  <si>
    <t>IV.</t>
  </si>
  <si>
    <t>Üzemeltetésre, kezelésre átadott eszközök</t>
  </si>
  <si>
    <t>B)</t>
  </si>
  <si>
    <t>FORGÓESZKÖZÖK ÖSSZESEN</t>
  </si>
  <si>
    <t>Készletek</t>
  </si>
  <si>
    <t>Követelések</t>
  </si>
  <si>
    <t>Értékpapírok</t>
  </si>
  <si>
    <t>Pénzeszközök</t>
  </si>
  <si>
    <t>V.</t>
  </si>
  <si>
    <t>Egyéb aktív pénzügyi elszámolások</t>
  </si>
  <si>
    <t>ESZKÖZÖK ÖSSZESEN</t>
  </si>
  <si>
    <t>FORRÁSOK</t>
  </si>
  <si>
    <t>D)</t>
  </si>
  <si>
    <t>SAJÁT TŐKE ÖSSZESE</t>
  </si>
  <si>
    <t>Induló tőke</t>
  </si>
  <si>
    <t xml:space="preserve">2. </t>
  </si>
  <si>
    <t>Tőkeváltozások</t>
  </si>
  <si>
    <t>Értékelési tartalék</t>
  </si>
  <si>
    <t>E)</t>
  </si>
  <si>
    <t>TARTALÉKOK ÖSSZESEN</t>
  </si>
  <si>
    <t>Költségvetési tartalékok</t>
  </si>
  <si>
    <t xml:space="preserve">II. </t>
  </si>
  <si>
    <t>Vállalkozási tartalékok</t>
  </si>
  <si>
    <t>F)</t>
  </si>
  <si>
    <t>KÖTELEZETTSÉGEK ÖSSZESEN</t>
  </si>
  <si>
    <t>Hosszú lejáratú kötelezettségek</t>
  </si>
  <si>
    <t>Rövid lejáratú kötelezettségek</t>
  </si>
  <si>
    <t>Egyéb passzív pénzügyi elszámolások</t>
  </si>
  <si>
    <t>FORRÁSOK ÖSSZESEN</t>
  </si>
  <si>
    <t>Sor</t>
  </si>
  <si>
    <t>szám</t>
  </si>
  <si>
    <t>Munkaadót terhelő járulékok</t>
  </si>
  <si>
    <t>Dologi és egyéb folyó kiadások</t>
  </si>
  <si>
    <t>Működési célú támogatásértékű kiadások, egyéb támogatások</t>
  </si>
  <si>
    <t>Államháztartáson kívülre végleges működési pénzeszközátadások</t>
  </si>
  <si>
    <t>Felhalmozási célú támogatásértékű kiadások, egyéb támogatások</t>
  </si>
  <si>
    <t>Államháztartáson kívülre végleges felhalmozási pénzeszközátadások</t>
  </si>
  <si>
    <t>Hosszú lejáratú kölcsönök nyújtása</t>
  </si>
  <si>
    <t>Rövid lejáratú kölcsönök nyújtása</t>
  </si>
  <si>
    <t>Költségvetési pénzforgalmi kiadások összesen (1+..+12)</t>
  </si>
  <si>
    <t>Hosszú lejáratú hitelek</t>
  </si>
  <si>
    <t>Rövid lejáratú hitelek</t>
  </si>
  <si>
    <t>Tartós hitelviszonyt megtestesítő értékpapírok kiadásai</t>
  </si>
  <si>
    <t>Forgatási célú hitelviszonyt megtestesítő értékpapírok kiadásai</t>
  </si>
  <si>
    <t>Finanszírozási kiadások összesen (14+..+17)</t>
  </si>
  <si>
    <t>Pénzforgalmi kiadások (13+18)</t>
  </si>
  <si>
    <t>Pénzforgalom nélküli kiadások</t>
  </si>
  <si>
    <t>Továbbadási (lebonyolítási) célú kiadások</t>
  </si>
  <si>
    <t>Kiegyenlítő, függő, átfutó kiadások összesen</t>
  </si>
  <si>
    <t>Kiadások összesen (19+…+22)</t>
  </si>
  <si>
    <t>Intézményi működési bevételek</t>
  </si>
  <si>
    <t>Önkormányzatok sajátos működési bevételei</t>
  </si>
  <si>
    <t>Működési célú támogatásértékű bevételek, egyéb támogatások</t>
  </si>
  <si>
    <t>Iparosított tech.lakások felújítása, ÖKO program, NEP pályázatok támogatása</t>
  </si>
  <si>
    <t>Visszafizetés kötvény tartalékba</t>
  </si>
  <si>
    <t>Óvodai nevelés: Juniorka Óvoda tám., Bartók Óvoda bővítés</t>
  </si>
  <si>
    <t xml:space="preserve"> - Rügy u., Kakas u. árokburkolat helyreállítás (vis maior)</t>
  </si>
  <si>
    <t xml:space="preserve"> - Rügy u. burkolatfelújítási munkák 0150; 0115 hrsz (vis maior)</t>
  </si>
  <si>
    <t xml:space="preserve"> - Újhegyi úti vízfolyás Munkácsy u. akna átépítése</t>
  </si>
  <si>
    <t>Iskolás korúak Ált. iskolai oktatása (tám., Kőkúti Isk. uszoda)</t>
  </si>
  <si>
    <t>853 266</t>
  </si>
  <si>
    <t xml:space="preserve">Városi Diákönkormányzat </t>
  </si>
  <si>
    <t>Intézmények energiaracionalizálása</t>
  </si>
  <si>
    <t>Állami támogatás lemondási kötelezettség miatti tartalék</t>
  </si>
  <si>
    <t xml:space="preserve">Pénzügyi befektetés (kötvény) </t>
  </si>
  <si>
    <t>Egyes jöv. pótló tám. kieg. 72.870 E Ft, közcélú támog. 15.000 E Ft</t>
  </si>
  <si>
    <t>Egyes jöv.pótló támog. Kiegészítése, közcélú foglal.</t>
  </si>
  <si>
    <t>Helyi adók és gépjárműadó 10 %-a</t>
  </si>
  <si>
    <t>Központosított támogatás TEUT pályázat</t>
  </si>
  <si>
    <t xml:space="preserve">Pénzügyi befektetés kötvényből </t>
  </si>
  <si>
    <t xml:space="preserve">Céltartalék </t>
  </si>
  <si>
    <t xml:space="preserve"> - fejl.célú tartalék kötvényből</t>
  </si>
  <si>
    <t>Felhalmozási célú bérbeadás (koncesszió 38 M, Vízmű)</t>
  </si>
  <si>
    <t xml:space="preserve">         -Talajterhelési díj</t>
  </si>
  <si>
    <t>általános tartalék</t>
  </si>
  <si>
    <t>céltartalékok:</t>
  </si>
  <si>
    <t>Céltartalékok:</t>
  </si>
  <si>
    <t xml:space="preserve"> - lakossági</t>
  </si>
  <si>
    <t xml:space="preserve"> - munkáltatói</t>
  </si>
  <si>
    <t xml:space="preserve">4.sz. melléklet                 </t>
  </si>
  <si>
    <t>E. Ft-ban</t>
  </si>
  <si>
    <t>Önkorm. feladatokra nem tervezhető elszám.</t>
  </si>
  <si>
    <t>751 889</t>
  </si>
  <si>
    <t>Hiteltörlesztés, kamat, kezességvállalás</t>
  </si>
  <si>
    <t>Polgármesteri Hivatal feladatainak költségvetése összesen:</t>
  </si>
  <si>
    <t>Német Kisebbségi Önkormányzat</t>
  </si>
  <si>
    <t>Lengyel Kisebbségi Önkormányzat</t>
  </si>
  <si>
    <t>Cigány Kisebbségi Önkormányzat</t>
  </si>
  <si>
    <t>Kisebbségi Önkormányzatok összesen</t>
  </si>
  <si>
    <t>Játszóterek fenntartása</t>
  </si>
  <si>
    <t>Tűzvédelem, közbiztonsági feladatok</t>
  </si>
  <si>
    <t>Egészségügyi feladatok</t>
  </si>
  <si>
    <t>Gyámhivatal hivatásos gondnok díja</t>
  </si>
  <si>
    <t>Szociális ellátás (támogatások)</t>
  </si>
  <si>
    <t>Kulturális feladatok</t>
  </si>
  <si>
    <t>Tatai Televizió kiadásai</t>
  </si>
  <si>
    <t>Bevétel</t>
  </si>
  <si>
    <t>Rendszeres gyermekvédelmi pénzbeli ell.</t>
  </si>
  <si>
    <t>Rendszeres szociális pénzbeni ellátások</t>
  </si>
  <si>
    <t>Kistérségi Többcélú Társulás</t>
  </si>
  <si>
    <t>Eseti pénzbeni szociális ellátások</t>
  </si>
  <si>
    <t>Munkanélküliek szociális segélyezése</t>
  </si>
  <si>
    <t>Eseti pénzbeli gyermekvédelmi ellátás</t>
  </si>
  <si>
    <t>Egyéb ingatlan értékesítés</t>
  </si>
  <si>
    <t>Egyéb ingatlanértékesítés</t>
  </si>
  <si>
    <t>Rövid lejáratú hiteltörlesztés</t>
  </si>
  <si>
    <t>751 966</t>
  </si>
  <si>
    <t>801 115</t>
  </si>
  <si>
    <t>801 214</t>
  </si>
  <si>
    <t>851 967</t>
  </si>
  <si>
    <t>751 856</t>
  </si>
  <si>
    <t>751 669</t>
  </si>
  <si>
    <t>751 670</t>
  </si>
  <si>
    <t>751 791</t>
  </si>
  <si>
    <t>751 834</t>
  </si>
  <si>
    <t>751 845</t>
  </si>
  <si>
    <t>852 018</t>
  </si>
  <si>
    <t>853 311</t>
  </si>
  <si>
    <t>853 344</t>
  </si>
  <si>
    <t>901 116</t>
  </si>
  <si>
    <t>902 113</t>
  </si>
  <si>
    <t xml:space="preserve"> - Helységek és gépek felújítása (szociális helység, krónikus belgyógy konyha, rendelő, központi fűtés a rendelőben, vizesblokk a belgyógyászaton)</t>
  </si>
  <si>
    <t xml:space="preserve"> - Parkolóépítés (Keszthelyi u., Pálóczi u.)</t>
  </si>
  <si>
    <t xml:space="preserve"> - Épületberuházási munkák (Irattár kialakítás, parkoló építés)</t>
  </si>
  <si>
    <t xml:space="preserve"> - Eszköz  beszerzés (monitor, mikroszkóp, székek, ultrahang fej, szoftver)</t>
  </si>
  <si>
    <t xml:space="preserve"> - Új u-i Bölcsöde - mosógép</t>
  </si>
  <si>
    <t>924 047</t>
  </si>
  <si>
    <t>926 018</t>
  </si>
  <si>
    <t>751 153</t>
  </si>
  <si>
    <t>702 012</t>
  </si>
  <si>
    <t>701 015</t>
  </si>
  <si>
    <t>631 211</t>
  </si>
  <si>
    <t>452 025</t>
  </si>
  <si>
    <t>020 215</t>
  </si>
  <si>
    <t>930 910</t>
  </si>
  <si>
    <t>930 921</t>
  </si>
  <si>
    <t>Beruházási célra átvett pénzeszköz</t>
  </si>
  <si>
    <t>Köztemető fenntartási feladatok</t>
  </si>
  <si>
    <t>Felújítás ( ÁFA-val )</t>
  </si>
  <si>
    <t>Adósságállomány törlesztő részlete a tárgyévet követő</t>
  </si>
  <si>
    <t>1. évben</t>
  </si>
  <si>
    <t>2. évben</t>
  </si>
  <si>
    <t>3. évben</t>
  </si>
  <si>
    <t>4. évben</t>
  </si>
  <si>
    <t>5. évben</t>
  </si>
  <si>
    <t>6. és az követő években</t>
  </si>
  <si>
    <t>9=4+..+8</t>
  </si>
  <si>
    <t>10=3+9</t>
  </si>
  <si>
    <t>Tartozások fejlesztési célú, devizában (CHF) kibocsátott kötvényből</t>
  </si>
  <si>
    <t>Forintban felvett beruházási és fejlesztési hitelek</t>
  </si>
  <si>
    <t>Devizában (CHF) felvett beruházási és fejlesztési hitelek</t>
  </si>
  <si>
    <t>Egyéb hosszú lejáratú, forintban fennálló kötelezettségek</t>
  </si>
  <si>
    <t>Hosszú lejáratú, forintban fennálló kötelezettségek évenkénti törlesztő részletei öszzsesen (2+4):</t>
  </si>
  <si>
    <t>Hosszú lejáratú, devizában (CHF)  fennálló kötelezettségek évenkénti törlesztő részletei öszzsesen (1+3):</t>
  </si>
  <si>
    <t>Az Önkormányzat hosszúlejáratú adósságállományának évenkénti alakulása</t>
  </si>
  <si>
    <t>47.</t>
  </si>
  <si>
    <t>48.</t>
  </si>
  <si>
    <t>49.</t>
  </si>
  <si>
    <t>Közép-Dunántúli Regionális Fejlesztési Tanács</t>
  </si>
  <si>
    <t>50.</t>
  </si>
  <si>
    <t>51.</t>
  </si>
  <si>
    <t xml:space="preserve">Kocsi u. burkolat felújítása </t>
  </si>
  <si>
    <t>52.</t>
  </si>
  <si>
    <t>Veres Péter u. burkolat felújítása</t>
  </si>
  <si>
    <t>53.</t>
  </si>
  <si>
    <t>Öveges u. burkolat felújítása</t>
  </si>
  <si>
    <t>54.</t>
  </si>
  <si>
    <t>55.</t>
  </si>
  <si>
    <t>56.</t>
  </si>
  <si>
    <t>KDOP 2007.2.1.1./B</t>
  </si>
  <si>
    <t>Angolpark rehabilitációja</t>
  </si>
  <si>
    <t>57.</t>
  </si>
  <si>
    <t>KDOP 5.1.1.</t>
  </si>
  <si>
    <t>Bartók B. úti óvoda újjáépítése</t>
  </si>
  <si>
    <t>58.</t>
  </si>
  <si>
    <t>59.</t>
  </si>
  <si>
    <t>60.</t>
  </si>
  <si>
    <t>61.</t>
  </si>
  <si>
    <t>TIOP 1.1.1 07/1</t>
  </si>
  <si>
    <t>Iskolai informatikai pályázat</t>
  </si>
  <si>
    <t>Lippai Sándor</t>
  </si>
  <si>
    <t>Támogatott, közp. közb. elj. keretében kiválasztott szállítótól 150 db PC, 3db szerver, 34 db tantermi csomag, 7 db SNI csomag</t>
  </si>
  <si>
    <t>62.</t>
  </si>
  <si>
    <t>KKK CSOMÓPONT-2008.</t>
  </si>
  <si>
    <t>Május 1. úti körforgalom fejlesztése</t>
  </si>
  <si>
    <t>Sikeres pályázat, 85/2008.(III.26.) sz. hat. Szerinti összeg az Útpénztárba befizetve</t>
  </si>
  <si>
    <t>63.</t>
  </si>
  <si>
    <t>64.</t>
  </si>
  <si>
    <t>ÖTM SPO-SE-08</t>
  </si>
  <si>
    <t>Kiemelt sportrendezvény: XXV. Minimarathon és utcai görkorcsolyaverseny</t>
  </si>
  <si>
    <t>65.</t>
  </si>
  <si>
    <t>Zubor Zsuzsanna</t>
  </si>
  <si>
    <t>66.</t>
  </si>
  <si>
    <t>KEOP 5.1.0</t>
  </si>
  <si>
    <t>Intézményi energiaracionalizálási program (Kőkúti Ált. Isk., Vaszary Ált. Isk., Fazekas Ált Isk., Geszti Óvoda, Piros Óvoda, Új úti Bölcsöde, Fürdő u.-i Óvoda)</t>
  </si>
  <si>
    <t>ÁROP-1.A.2, Közigazgatási Reform Program Irányító Hatósága</t>
  </si>
  <si>
    <t>Polgármesteri Hivatal szervezetfejlesztése</t>
  </si>
  <si>
    <t>dr. Lantai Éva</t>
  </si>
  <si>
    <t>OKM</t>
  </si>
  <si>
    <t>Támogatott</t>
  </si>
  <si>
    <t xml:space="preserve">KKK  </t>
  </si>
  <si>
    <t>Kocsi és Környei utca csomópontban a gyalogos átkelőhelyek fejlesztése</t>
  </si>
  <si>
    <t>Ifjúsági referens alkalmazása</t>
  </si>
  <si>
    <t>International Visegrad Fund</t>
  </si>
  <si>
    <t>Gyermekekről szóló fotóalbum és vándorkiállítás</t>
  </si>
  <si>
    <t>Osgyáni Zsuzsanna</t>
  </si>
  <si>
    <t>6 860 Euro</t>
  </si>
  <si>
    <t>5 000 Euro</t>
  </si>
  <si>
    <t>Education, Audiovisual &amp; Executive Agency, Brüsszel (Európa a polgárokért 2007-2013 program)</t>
  </si>
  <si>
    <t>Tematikus testvérvárosi konferencia szervezése a gyermekek jogaoról és jóllétéről</t>
  </si>
  <si>
    <t>6 933 Euro</t>
  </si>
  <si>
    <t>Nemzetközi ifjúsági találkozó megvalósítása</t>
  </si>
  <si>
    <t>6 288 Euro</t>
  </si>
  <si>
    <t>TÁMOP-3-1-4/08/2</t>
  </si>
  <si>
    <t>Kompetencia alapú oktatás, egyenlő hozzáférés- innovatív intézményekben</t>
  </si>
  <si>
    <t>Szociális és Munkaügyi Minisztérium</t>
  </si>
  <si>
    <t>IFJ-REF-08-00067</t>
  </si>
  <si>
    <t>Tremmel József</t>
  </si>
  <si>
    <t>Európai Bizottság</t>
  </si>
  <si>
    <t>Testvérvárosi drogkonferencia rendezése 2009. októberében</t>
  </si>
  <si>
    <t>10 117,95 Euro</t>
  </si>
  <si>
    <t>Önkormányzati Minisztérium</t>
  </si>
  <si>
    <t>Közoktatási-fejlesztési célok támogatása (Szakmai és informatikai fejlesztési feladatok)</t>
  </si>
  <si>
    <t>2. Ellátottak térítési díjának, kártérítésének méltányossági elengedése (13 fő):</t>
  </si>
  <si>
    <t>3. Lakossági lakásfelújítási kölcsönök elengedésének összege:</t>
  </si>
  <si>
    <t>5. Egyéb nyújtott kedvezmény vagy kölcsön elengedésének összege (3 fő):</t>
  </si>
  <si>
    <t>Kölcsönvisszatérülés (Távhő)</t>
  </si>
  <si>
    <t>Környezet és természetvédelmi feladatok</t>
  </si>
  <si>
    <t xml:space="preserve"> - Város és községgazdálkodás</t>
  </si>
  <si>
    <t xml:space="preserve"> - Építés és településfejlesztés</t>
  </si>
  <si>
    <t>Települési vízellátás</t>
  </si>
  <si>
    <t>Közvilágítás</t>
  </si>
  <si>
    <t>Csapadékvízelvezetés</t>
  </si>
  <si>
    <t xml:space="preserve">Sportcélok és feladatok </t>
  </si>
  <si>
    <t xml:space="preserve"> -- Kuny Domokos Megyei Múzeum </t>
  </si>
  <si>
    <t xml:space="preserve"> -- Magyar Vöröskereszt KEM szervezete</t>
  </si>
  <si>
    <t xml:space="preserve"> -- Tatai Sárkányhajó és Természetjáró Egyesület</t>
  </si>
  <si>
    <t xml:space="preserve"> -- Lengyel - Cigány és Német Kisebbségi Önkormányzat</t>
  </si>
  <si>
    <t xml:space="preserve"> -- NIFFAN Bt.</t>
  </si>
  <si>
    <t xml:space="preserve"> -- DK. Digitális Kommunikáció Közhasznú Nonprofit Kft.</t>
  </si>
  <si>
    <t xml:space="preserve"> -- Arspoetica Consult Bt. </t>
  </si>
  <si>
    <t xml:space="preserve"> -- Tatai Honvéd Bajtársi Klub</t>
  </si>
  <si>
    <t xml:space="preserve"> -- Tatai Távhőszolgáltató Kft-nek - Gesztenyefasori kazánház felújítása</t>
  </si>
  <si>
    <t xml:space="preserve">  -- Május 1. u. 30. előtti parkoló felújítás (Robozné Schönfeld Zsuzsanna keretéből)</t>
  </si>
  <si>
    <t xml:space="preserve"> - Magyary Zoltán Művelődési Központ felújítási munkáira</t>
  </si>
  <si>
    <t xml:space="preserve"> - Dózsa Gy. u. - József A. u. felújítási tervek</t>
  </si>
  <si>
    <t>Kálvária u. Óvoda - tetőfelújítás</t>
  </si>
  <si>
    <t>Kertvárosi Óvoda - villanyhálózat, központi fűtés, padozat csere, kerítés és kapu, védőszönyeg udvari játékok alá, fűves sportpálya</t>
  </si>
  <si>
    <t>Piros Óvoda - mosdók, szennyvízcső csere, esővízelvezető cső, kerítés</t>
  </si>
  <si>
    <t>Bergengócia Óvoda - tetőfelújítás, homlokzat</t>
  </si>
  <si>
    <t>Új Úti Bölcsőde - fürdő, mosdó blokk felújítás, parketta csere</t>
  </si>
  <si>
    <t>Vaszary J. Általános Iskola - vizesblokk felújítás, tetőfelújítás, oromfal visszabontás</t>
  </si>
  <si>
    <t>Kőkúti Általános Iskola - vizesblokk felújítása</t>
  </si>
  <si>
    <t xml:space="preserve"> - Képvieslői keretből megvalósuló beruházások</t>
  </si>
  <si>
    <t xml:space="preserve">  -- Környei út vízelvezetés tervezés (Dinga László keretéből)</t>
  </si>
  <si>
    <t xml:space="preserve">  -- Pálóczi H. Á. u. parkolók tervezése (Gerébi Ákos keretéből)</t>
  </si>
  <si>
    <t>Teljesítés</t>
  </si>
  <si>
    <t xml:space="preserve"> - Gyermekbarát város mintaprojekt  - tárgyi eszköz beszerzés</t>
  </si>
  <si>
    <t xml:space="preserve"> - Kossuth tér rehabilitációja KDOP-2009-3.1.1./A pályázati előkészítés, Kossuth tér 10. átalakítási munkái a pályázathoz kapcsolódóan</t>
  </si>
  <si>
    <t xml:space="preserve"> - Jávorka iskola mögötti terület hasznosításának előkészítésére</t>
  </si>
  <si>
    <t>Intézmények Gazdasági Hivatalához tartozó önállóan működő intézmények 2009. évi költségvetése</t>
  </si>
  <si>
    <t>Dologi kiadások és egyéb folyó kiadás (kamat nélkül), követelés elengedés</t>
  </si>
  <si>
    <t>Tata Város Önkormányzatának 2009. évi pénzmaradványának alakulása (E Ft-ban)</t>
  </si>
  <si>
    <t xml:space="preserve">Hosszú lejáratú költségvetési betétszámlák záróegyenlegei </t>
  </si>
  <si>
    <t>Rövid lejáratú költségvetési pénzforgalom és betétszámlák záróegyenlegei</t>
  </si>
  <si>
    <t xml:space="preserve">4. </t>
  </si>
  <si>
    <t>Záró pénzkészlet (1+2+3)</t>
  </si>
  <si>
    <t>Forgatási célú érétkpapírok záró állománya</t>
  </si>
  <si>
    <t>Rövid lejáratú likvidhitel és működési célú kötvényki.záróáll.(-)</t>
  </si>
  <si>
    <t>Forgatási célú finanszírozási műveletek egyenlege (5+6)</t>
  </si>
  <si>
    <t xml:space="preserve"> - Költségvetési aktív függő elszámolások záróegyenelge</t>
  </si>
  <si>
    <t xml:space="preserve"> - Költségvetési aktív átfutó elszámolások záróegyenlege</t>
  </si>
  <si>
    <t xml:space="preserve"> - Költségvetési aktív kiegyenlítő elszámolások záróegyenlege</t>
  </si>
  <si>
    <t>Költségvetési aktív elszámolások záróegyenlege</t>
  </si>
  <si>
    <t xml:space="preserve"> - Költségvetési passzív függő elszámolások záróegyenlege (-)</t>
  </si>
  <si>
    <t xml:space="preserve"> - Költségvetési passzív átfutó elszámolások záróegyenelege (-)</t>
  </si>
  <si>
    <t xml:space="preserve"> - Költségvetési passzív kiegyenlítő elszámolások záróegyenlege (-)</t>
  </si>
  <si>
    <t>Költségvetési passzív elszámolások záróegyenlege (-)</t>
  </si>
  <si>
    <t>Egyéb aktív passzív pénzügyi elszámolások összesen (11 -15) (+-)</t>
  </si>
  <si>
    <t>felhalmozási célra</t>
  </si>
  <si>
    <t>pénzforalom nélküli</t>
  </si>
  <si>
    <t>előző évi átvétele</t>
  </si>
  <si>
    <t>M.adókat terhelő jár.</t>
  </si>
  <si>
    <t>Dologi</t>
  </si>
  <si>
    <t>Dologiból ellátottakra vonatkozó élelmiszer beszerzés és vásárolt élelmezés</t>
  </si>
  <si>
    <t>Pénzbeli támogatás</t>
  </si>
  <si>
    <t>Pénzbeli juttatás</t>
  </si>
  <si>
    <t>Mód.(II.hó)</t>
  </si>
  <si>
    <t>Bartók B. utcai Óvoda</t>
  </si>
  <si>
    <t>Bölcsöde</t>
  </si>
  <si>
    <t>Vaszary J. Általános Iskola</t>
  </si>
  <si>
    <t>Vaszary-Jázmin Tagint.</t>
  </si>
  <si>
    <t>Vaszary-Tardosi Tagint.</t>
  </si>
  <si>
    <t>Mód(X.28)</t>
  </si>
  <si>
    <t>Vaszary összesen</t>
  </si>
  <si>
    <t>Kőkúti Általános Iskola - Fazekas U. Tagintézmény</t>
  </si>
  <si>
    <t>Kőkúti összesen</t>
  </si>
  <si>
    <t>Móricz Zs. Könyvtár</t>
  </si>
  <si>
    <t>Szociális Alapellátó Intézmény</t>
  </si>
  <si>
    <t>Kvi. alcímek és szakf. Összesen:</t>
  </si>
  <si>
    <t>Kötvénykamata - működésre átforgatva</t>
  </si>
  <si>
    <t>Készfizető kezesség - Városkapu Zrt-nek,</t>
  </si>
  <si>
    <t>Kölcsön Távhő Kft-nek.</t>
  </si>
  <si>
    <t>TEUT pályázati támogatás (Rákóczi u.burkolat felújítás)</t>
  </si>
  <si>
    <t xml:space="preserve"> - Természetvédelmi terület vásárlás 1363/76 hrsz</t>
  </si>
  <si>
    <t xml:space="preserve"> - Távhőrendszer korszerűsítése KEOP-2009-4.2. pályázat előkészítő munkákra</t>
  </si>
  <si>
    <t xml:space="preserve"> - Agostyán, római katolikus templom külső villamos energia ellátása</t>
  </si>
  <si>
    <t xml:space="preserve"> - Kakas u. vízrendezési terv</t>
  </si>
  <si>
    <t xml:space="preserve"> - Nagy L. u. vízelvezetés folytatása Nagy L. u. és Tavasz u. (ideiglenes nyitott árok Újhegyi vízfolyásba való bekötése)</t>
  </si>
  <si>
    <t xml:space="preserve"> - Parkolóépítés (Keszthelyi u.)</t>
  </si>
  <si>
    <t xml:space="preserve"> - Kossuth tér rehabilitációja KDOP-2009-3.1.1./A pályázati előkészítés</t>
  </si>
  <si>
    <t xml:space="preserve"> - Fényes fürdőn II. sz. Camping megvásárlása</t>
  </si>
  <si>
    <t xml:space="preserve"> - Kajakház - Öreg tavi kerékpárút KDOP 2.1.1./B pályázat előkészítés</t>
  </si>
  <si>
    <t xml:space="preserve"> - Távhő mellett található ingatlanok megvásárlása 137/2009(V.27.) határozat</t>
  </si>
  <si>
    <t xml:space="preserve"> - Újhegyi úti vízfolyás mederburkolás (vis maior)</t>
  </si>
  <si>
    <t xml:space="preserve"> - Székely B., és Gyár u. vízkárelhárítás, vízelvezetés</t>
  </si>
  <si>
    <t xml:space="preserve"> - Fazekas Iskola támfal és vízelvezetés helyreállítása</t>
  </si>
  <si>
    <t xml:space="preserve"> - Talentum Iskola szennyvízvezeték kiváltása</t>
  </si>
  <si>
    <t xml:space="preserve"> - Vértesszőlősi úti csapadékcsatorna kiváltás terv</t>
  </si>
  <si>
    <t>Forgatási célú érétkpapír értékesítés</t>
  </si>
  <si>
    <t>Előző évi pénzmaradvány átvétel</t>
  </si>
  <si>
    <t>Pénzkészlet egyeztetés:</t>
  </si>
  <si>
    <t>Nyitó pénzkészlet</t>
  </si>
  <si>
    <t>E Ft</t>
  </si>
  <si>
    <t xml:space="preserve">           + bevételek</t>
  </si>
  <si>
    <t xml:space="preserve">           - kiadások</t>
  </si>
  <si>
    <t xml:space="preserve">           - pénzmaradvány</t>
  </si>
  <si>
    <t>Záró pénzkészlet</t>
  </si>
  <si>
    <t>Ebből: - Lakáscélra (szociális 1.700 E Ft, munkáltatói 1.950 E Ft)</t>
  </si>
  <si>
    <t>Előző évi pénzmaradvány átadás</t>
  </si>
  <si>
    <t xml:space="preserve"> - Szilágyi E. úti járdaszakasz felújítása pótmunka</t>
  </si>
  <si>
    <t xml:space="preserve"> - Agostyáni u-i járda felújításának pótmunkái</t>
  </si>
  <si>
    <t xml:space="preserve"> - Polgármesteri Hivatal felújítási munkák</t>
  </si>
  <si>
    <t xml:space="preserve"> - Agostyán, Kossuth u. járda felújítás</t>
  </si>
  <si>
    <t xml:space="preserve"> - Fekete út melletti járdaszakasz 3.000 EFt, Zrínyi u. hiányzó járda és parkolók=Gesztenye fasor 47. előtti szakasz 9.050 EFt)</t>
  </si>
  <si>
    <t xml:space="preserve"> - BMX pálya építése (Gyermekbarát város keretből)</t>
  </si>
  <si>
    <t xml:space="preserve"> - Május 1. u. járda, gyalogátkelő létesítése</t>
  </si>
  <si>
    <t xml:space="preserve"> - Levendulakert ivóvíz- és szennyvíz- és közvilágítási hálózat</t>
  </si>
  <si>
    <t xml:space="preserve"> - Kerítés építés a Pálma rendezvényház és a fürdő között</t>
  </si>
  <si>
    <t xml:space="preserve"> - Vaszary J. Ált. Iskola - Jázmin u-i tagintézmény</t>
  </si>
  <si>
    <t xml:space="preserve"> - Vaszary J. Ált. Iskola - Tardosi Tagint.</t>
  </si>
  <si>
    <t xml:space="preserve"> - Kőkúti Általános Iskola - számítógép vásárlás, beruházási feladatok</t>
  </si>
  <si>
    <t xml:space="preserve"> - Szivárvány Óvoda</t>
  </si>
  <si>
    <t xml:space="preserve"> - Piros Óvoda</t>
  </si>
  <si>
    <t xml:space="preserve"> - Rákóczi u. burkolat felújítás</t>
  </si>
  <si>
    <t xml:space="preserve"> - Tatai Távhő Kft-nek rövid távú felújításra </t>
  </si>
  <si>
    <t>Intézmények energiaracionalizálása című projekt kapcsán megérkezett támogatási előleg</t>
  </si>
  <si>
    <t>Bartók B.úti Óvoda bővítése című projekt kapcsán a megérkezett támogatási előleg</t>
  </si>
  <si>
    <t xml:space="preserve"> - Jávorka Sándor Mezőgazd.Szakközépisk.mögötti terület hasznosításának előkészítése</t>
  </si>
  <si>
    <t xml:space="preserve"> - Csapadékvíz-csatorna és úttelek vásárlás 460/89.hrsz, 460/111.hrsz.</t>
  </si>
  <si>
    <t xml:space="preserve"> - Szociális alapellátó pályázat előkészítés</t>
  </si>
  <si>
    <t xml:space="preserve"> - Új úti Bölcsőde infrastrukturális fejlesztési pályázat előkészítés</t>
  </si>
  <si>
    <t xml:space="preserve"> - Dózsa Gy. u.-József A. u. felújítási tervek elkészítése</t>
  </si>
  <si>
    <t>Készfizető kezesség Tatai Távhő Kft. pénzügyi szoftver vásárlásához</t>
  </si>
  <si>
    <t>Az intézmények energiaracionalizálása tárgyú KEOP pályázat projektmenedzsment költségeire működési kiadás</t>
  </si>
  <si>
    <t>Hiteltörlesztés fejl.célú</t>
  </si>
  <si>
    <t>Szennyvízelvezetés</t>
  </si>
  <si>
    <t>Pénzeszköz átadás, támogatás:</t>
  </si>
  <si>
    <t>Eü működésre TB. Támogatás</t>
  </si>
  <si>
    <t>Működési célra támogatások</t>
  </si>
  <si>
    <t>Felhalmozási célra támogatások</t>
  </si>
  <si>
    <t>Szociális intézmények kialakítása (Diák F. u. 1. ingatlan, Idősek Klubja)</t>
  </si>
  <si>
    <t>Kisebbségi Önkormányzatok támogatása</t>
  </si>
  <si>
    <t>Angolpark rekonstrukciójára pályázati támogatás</t>
  </si>
  <si>
    <t xml:space="preserve"> - THAC - Sakk Szakosztály</t>
  </si>
  <si>
    <t xml:space="preserve"> - Kurul dobosok támogatása</t>
  </si>
  <si>
    <t xml:space="preserve"> - D.K. Digitális Kommunikációs Közhasznú Nonprofit Kft. támogatása</t>
  </si>
  <si>
    <t xml:space="preserve"> - Tatai Kistérségi Többcélú Társulás - közösségi busz</t>
  </si>
  <si>
    <t xml:space="preserve"> - Szövetség Tatáért Alapítványnak </t>
  </si>
  <si>
    <t xml:space="preserve"> - Fényes Fürdő Kft-nek (427/2009.(XI.24.) számú határozat alapján)</t>
  </si>
  <si>
    <t>Működési célra tám. pénzeszköz átvétele</t>
  </si>
  <si>
    <t xml:space="preserve">Előző évi pénzmaradvány </t>
  </si>
  <si>
    <t>Támogatás értékű átvételek felhalmozási célra</t>
  </si>
  <si>
    <t>Beruházási hitel törlesztés</t>
  </si>
  <si>
    <t>Erdőgazdálkodási szolgáltatás (kártevőírtás)</t>
  </si>
  <si>
    <t>751 867</t>
  </si>
  <si>
    <t>Árpád-házi Szent Erzsébet Szakkórház és Rendelőintézet</t>
  </si>
  <si>
    <t xml:space="preserve"> - Szociális Alapellátó Intézmény - jelzőrendszeres házi segítségnyújtó rendszer kialakítása, éjjeli menedékhely bővítés, betegszoba, gépkocsi vás.</t>
  </si>
  <si>
    <t xml:space="preserve"> -- Természetes Életmódért Alapítvány</t>
  </si>
  <si>
    <t xml:space="preserve"> -- Puedló Kft-nek könyvkiadásra</t>
  </si>
  <si>
    <t xml:space="preserve"> -- MAZSIHISZ Tatai Zsidó temető kerítéséhez</t>
  </si>
  <si>
    <t>Felhalmozási kiadások</t>
  </si>
  <si>
    <t>Eredeti</t>
  </si>
  <si>
    <t>Egyéb visszatérítendő támogatás</t>
  </si>
  <si>
    <t>Egyéb központosított támogatás</t>
  </si>
  <si>
    <t>Egyéb központosított bevételek</t>
  </si>
  <si>
    <t xml:space="preserve">Eredeti </t>
  </si>
  <si>
    <t>ÁFA bevétel</t>
  </si>
  <si>
    <t>Dologi kiadás (beruházási hitelkamat és ÁFA nélkül)</t>
  </si>
  <si>
    <t>Kötvény kamata</t>
  </si>
  <si>
    <t>Települési hulladékok kezelése, köztisztaság</t>
  </si>
  <si>
    <t>Felhalmozási céltartalék - kötvényből pénzügyi befektetésre</t>
  </si>
  <si>
    <t>Pályázat figyelési feladatokra - Városkapu Zrt.</t>
  </si>
  <si>
    <t>Közterület-felügyelet</t>
  </si>
  <si>
    <t>Kötvénykibocsátás bevétele</t>
  </si>
  <si>
    <t>551 414</t>
  </si>
  <si>
    <t>Önkormányzat igazgatási tevékenysége</t>
  </si>
  <si>
    <t>751 878</t>
  </si>
  <si>
    <t>Állategészségügyi feladatok</t>
  </si>
  <si>
    <t>751164</t>
  </si>
  <si>
    <t xml:space="preserve">         -Egyéb sajátos bevételek (bérleti díj, lakbér, bírság)</t>
  </si>
  <si>
    <t>1. sz. melléklet</t>
  </si>
  <si>
    <t>Fejlesztési céltartalék kötvényből</t>
  </si>
  <si>
    <t>014034</t>
  </si>
  <si>
    <t xml:space="preserve"> - működési célú tartalék</t>
  </si>
  <si>
    <t>Működési céltartalék</t>
  </si>
  <si>
    <t>Központosított tám. - kisebbségi önkormányzatoknak</t>
  </si>
  <si>
    <t>Felhalmozási céltartalék pályázati önerőre</t>
  </si>
  <si>
    <t>Közösségi ellátás 2009. évi működésére Foglalkoztatási és Szociális Hivatal</t>
  </si>
  <si>
    <t>Polgármesteri Hivatal szervezetfejlesztésre ÁROP pályázat</t>
  </si>
  <si>
    <t>Váralja csatorna közmű befizetés (lakossági - kötvény tartalék)</t>
  </si>
  <si>
    <t xml:space="preserve"> - Oktatási és ifjúsági pályázatokra 3.000 E Ft</t>
  </si>
  <si>
    <t>Áthúzódó kötelezettségvállalással terhelt feladatok:</t>
  </si>
  <si>
    <t>Áthúzódó kötelezettségvállalással terhelt feladatok kötvényből:</t>
  </si>
  <si>
    <t>2009. évi igények:</t>
  </si>
  <si>
    <t xml:space="preserve"> - Fáklya u. öltöző - WC blokk cseréje</t>
  </si>
  <si>
    <t xml:space="preserve"> - Bérlakások és nem lakás célú helységek felújítása</t>
  </si>
  <si>
    <t>2009. évi igények kötvényből:</t>
  </si>
  <si>
    <t>Vaszary - Jázmin U. Tagintézmény - kazánfelújítás 0,45 M Ft</t>
  </si>
  <si>
    <t xml:space="preserve"> - Angol parki pályázathoz kapcsolódó feladatok (Sport u., Baji u. parkolók, Hattyúliget u.)</t>
  </si>
  <si>
    <t xml:space="preserve"> - Hajdú u. 1. ingatlanvásárlás (áthúzódó részlet)</t>
  </si>
  <si>
    <t>Előző évi költségvetés kiegészítés, visszatérülések</t>
  </si>
  <si>
    <t xml:space="preserve"> - Kocsi út melletti kerékpárút (pályázati előkészítés KDOP)</t>
  </si>
  <si>
    <t xml:space="preserve"> - Somogyi B. u. és Bacsó B. u. gyalogátkelőhely létesítés</t>
  </si>
  <si>
    <t>2009.</t>
  </si>
  <si>
    <t>2009. évben lehívott támogatás</t>
  </si>
  <si>
    <t>Nyertes pályázat, 110001508U, támogatás folyósítása a tervekre a megtörtént, a kivitelezési és műszaki ellenőri számlákra folyamatban</t>
  </si>
  <si>
    <t>Nyertes pályázat 110001208U, támogatás folyósítása a tervekre a megtörtént, a kivitelezési és műszaki ellenőri számlákra folyamatban</t>
  </si>
  <si>
    <t>Nyertes pályázat 110001408U, támogatás folyósítása a tervekre a megtörtént, a kivitelezési és műszaki ellenőri számlákra folyamatban</t>
  </si>
  <si>
    <t>Lengyel József</t>
  </si>
  <si>
    <t>Nyertes pályázat, a támogatási szerz. Megkötve 2009.12.01</t>
  </si>
  <si>
    <t>Schweighardt Ottóné</t>
  </si>
  <si>
    <t>Nyertes pályázat, a támogatási szerződés megkötve, előleg folyósítva</t>
  </si>
  <si>
    <t>Lakos Zsuzsanna</t>
  </si>
  <si>
    <t>Nyertes pályázat, szerződés megkötve, előleg folyósítva</t>
  </si>
  <si>
    <t>Nyertes pályázat, támogatási szerődés megkötve, előleg folyósítva, az 1.-2. kifizetési kérelem beküldve, pozitívan elbírálva</t>
  </si>
  <si>
    <t>Horváth Zoltán, Városkapu Zrt.</t>
  </si>
  <si>
    <t>Nyertes pályázat, SPO-SE-08-08-06-76, támogatás elszámolása elfogadva</t>
  </si>
  <si>
    <t>344/2008./XI.26./ sz. határozat alapján</t>
  </si>
  <si>
    <t>Gyermekbarát város mintaprojekt támogatása</t>
  </si>
  <si>
    <t>Nyertes pályázat, IFJ-MP-08-0004</t>
  </si>
  <si>
    <t>10 015,18 Euro</t>
  </si>
  <si>
    <t>Nemzetközi Visegrádi Alap</t>
  </si>
  <si>
    <t>Gyermekvilág - Képek a Visegrádi országokról fotóalbum megvalósítására</t>
  </si>
  <si>
    <t>KDOP-2.1.1/B</t>
  </si>
  <si>
    <t>Kiemelt és integrált vonzerő, termék és infrastuktúra fejlesztések - Kőfaragó Ház projekt</t>
  </si>
  <si>
    <t>Lakos Zsuzsa</t>
  </si>
  <si>
    <t>7/2009./I.28./ és a 141/2009./V.27./ sz. határozatok alapján</t>
  </si>
  <si>
    <t>Közép-dunántúli Regionális Fejlesztési Ügynökség</t>
  </si>
  <si>
    <t>Eötvös Gimnázium főépületének infrastuktúrális fejlesztése</t>
  </si>
  <si>
    <t>70/2009./III.25./ sz. határozat alapján</t>
  </si>
  <si>
    <t>KDOP 4.2.1/B</t>
  </si>
  <si>
    <t>Fáklya u., Diófa u. belterületi közutak fejlesztése</t>
  </si>
  <si>
    <t>120/2009./IV.29./, 141/2009./V.27./,  226/2009./VI.24./ sz. és a 280/2009./IX.9./ sz. határozatok alapján, nyertes</t>
  </si>
  <si>
    <t>Rákóczi u. burkolat felújítása</t>
  </si>
  <si>
    <t>Révai u. burkolat felújítása</t>
  </si>
  <si>
    <t>Thury Gy. u. burkolat felújítása</t>
  </si>
  <si>
    <t>Hamari D. u. burkolat felújítása</t>
  </si>
  <si>
    <t>KDOP-2009-4.2.2.</t>
  </si>
  <si>
    <t>Tata Kocsi úti és Dózsa Gy. u.-i kerékpárút építése</t>
  </si>
  <si>
    <t>Valusek Helga, Lakos Zsuzsanna</t>
  </si>
  <si>
    <t>OTP Nyrt.</t>
  </si>
  <si>
    <t>Agostyáni Víziközmű Társulat (megszűnt)</t>
  </si>
  <si>
    <t>Bp. Autófin. Zrt.</t>
  </si>
  <si>
    <t>Feladat megnevezése</t>
  </si>
  <si>
    <t>Befejezés éve</t>
  </si>
  <si>
    <t>Bekerülési költség</t>
  </si>
  <si>
    <t>Határon átívelő kulturális és sport kapcsolat két testvértelepülés között (Tata-Szőgyén)</t>
  </si>
  <si>
    <t>44 409,97 Euro</t>
  </si>
  <si>
    <t>Lebonyolítása zajlik, támogatási szerződés megkötése folyamatban, 287/2009./IX.9./ sz. határozat, elk. szla megnyitva</t>
  </si>
  <si>
    <t>KEOP-2009-4.2</t>
  </si>
  <si>
    <t>Helyi hő és hűtési igény kielégítése megújuló energiaforrásokkal</t>
  </si>
  <si>
    <t>267/2009./VIII.12./ sz. határozat alapján</t>
  </si>
  <si>
    <t>KEOP-2009-3.1.3</t>
  </si>
  <si>
    <t>Angolkert növényzetének pótlása, ápolása</t>
  </si>
  <si>
    <t>Gerlei Tamás</t>
  </si>
  <si>
    <t>Előkészítés alatt, 271/2009./VIII.12./ sz. határozat alapján</t>
  </si>
  <si>
    <t>Magyarország-Szlovákia Határon Átnyúló Együttműködési Program 2007-2013 (HUSK09/01)</t>
  </si>
  <si>
    <t>Vándorutak Magyar-Szlovák Kocsi-, Lovas-, ÖKO Sztráda</t>
  </si>
  <si>
    <t>Lakos Zsuzsanna, Horváth Zoltán</t>
  </si>
  <si>
    <t>286/2009./IX.9./ sz. határozat alapján, nem került benyújtásra, 2010-ben lesz rá lehetőség újra projekt partnerként.</t>
  </si>
  <si>
    <t>Támogatott, az OKM honlapján közzétéve,</t>
  </si>
  <si>
    <t>KDOP-2009-4.1.1/E</t>
  </si>
  <si>
    <t>Tavasz - Nagy Lajos - Váci M. u. csapadékvíz elvezetése</t>
  </si>
  <si>
    <t>284/2009./IX.9./ sz. határozat alapján, a pályázatíró 1 héttel a ledás előtt nyilatkozott, hogy nem tudja elkészíteni a bedásig, nem került bedásra</t>
  </si>
  <si>
    <t>Magyarország-Szlovákia Határon Átnyúló Együttműködési Program 2007-2013  HU-SK 09/01/1.7.1</t>
  </si>
  <si>
    <t>Tata-Szőgyén kapcsolatok, 2010. évi rendezvényekre</t>
  </si>
  <si>
    <t>287/2009./IX.9./ sz. határozat alapján, elbírálás alatt</t>
  </si>
  <si>
    <t>Magyar-szlovák területi együttműködési program 2.3.1. pályázat</t>
  </si>
  <si>
    <t>Egymás felé Turisztikai kerékpárút-fejlesztés</t>
  </si>
  <si>
    <t>288/2009./IX.9./ sz határozat alapján, Projekt partnerként (Pons Danubii Korlátolt Felelősségű Európai Területi Együttműködési Csoportosulás), nem került beadásra, a szlovák féllel nem sikerült megállapodni</t>
  </si>
  <si>
    <t xml:space="preserve">Magyar-szlovák területi együttműködési program 1.5.1 </t>
  </si>
  <si>
    <t xml:space="preserve">Hálózati, partnerségi, program- és projekttervezési és -irányítási kapacitások fejlesztése - Hídépítés </t>
  </si>
  <si>
    <t>289/2009./IX.9./ sz. határozat alapján, Projekt partnerként (Pons Danubii Korlátolt Felelősségű Európai Területi Együttműködési Csoportosulás)</t>
  </si>
  <si>
    <t>KDOP-2009-5.2.2/A</t>
  </si>
  <si>
    <t>Szociális Alapellátó Intézmény fejlesztése</t>
  </si>
  <si>
    <t>261/2009./VII.2./ és a 386/2009./X.28./ sz. határozatok alapján, benyújtva</t>
  </si>
  <si>
    <t>Alapfokú művészetoktatás támogatása</t>
  </si>
  <si>
    <t>Helyi közlekedés normatív támogatása</t>
  </si>
  <si>
    <t>Magyarországi Nemzeti Etnikai Kisebbségi Közalapítvány</t>
  </si>
  <si>
    <t>Lengyel Kisebbségi Önkormányzat támogatása</t>
  </si>
  <si>
    <t>Bálint Anita</t>
  </si>
  <si>
    <t>SPO-SE-09</t>
  </si>
  <si>
    <t>Szabadidő sportfesztiválok Tatán</t>
  </si>
  <si>
    <t>Támogatási szerződés megkötve</t>
  </si>
  <si>
    <t>Foglalkoztatási és Szociális Hivatal</t>
  </si>
  <si>
    <t>Szociális támogató szolgáltatás</t>
  </si>
  <si>
    <t>Czunyiné dr. Bertalan Judit</t>
  </si>
  <si>
    <t>Támogatott, SZOC-BF-08-T0040, Szoc. Alapellátónak</t>
  </si>
  <si>
    <t>Pszichiátriai betegek közösségi ellátásának támogatása</t>
  </si>
  <si>
    <t>Támogatott, SZOC-BF-08-K-0015, Szoc. Alapellátónak</t>
  </si>
  <si>
    <t>Támogatott SZOC-BF-08-T-0040, Szoc. Alapellátónak</t>
  </si>
  <si>
    <t xml:space="preserve"> - Angol park rekonstrukció (pályázat)</t>
  </si>
  <si>
    <t xml:space="preserve"> - Polgármesteri Hivatal akadálymentesítés (pályázati önerő)</t>
  </si>
  <si>
    <t xml:space="preserve"> 2009. évi igények:</t>
  </si>
  <si>
    <t xml:space="preserve"> - Intézmények energiaracionalizálása</t>
  </si>
  <si>
    <t xml:space="preserve"> - bírság (környezetvédelmi 500, közterület 2500, építés 1500)</t>
  </si>
  <si>
    <t xml:space="preserve"> - bérleti díj, közterület használat</t>
  </si>
  <si>
    <t xml:space="preserve"> - Pénzügyi befektetés (kötvényből)</t>
  </si>
  <si>
    <t xml:space="preserve"> - üzemeltetés, bérbeadás felhalm. bevétel</t>
  </si>
  <si>
    <t xml:space="preserve"> - TEUT támogatás (Öveges u., Veres P.u., Kocsi u.)</t>
  </si>
  <si>
    <t>Hitel felvétel (hiány)</t>
  </si>
  <si>
    <t xml:space="preserve"> - közp. egyes jöv. pótló támog. kieg. 72.870, közcélú tám 15.000)</t>
  </si>
  <si>
    <t xml:space="preserve"> - TEUT pályázati támogatással burkolat felújítások (Veres P. u., Öveges u.,  Kocsi u.)</t>
  </si>
  <si>
    <t xml:space="preserve"> - Járdafelújítások (Keszthelyi u. játszótér mellett, Szilágyi u., Agostyáni úti)</t>
  </si>
  <si>
    <t xml:space="preserve"> - Kastély tér felújítása (érdekeltek bevonásával)</t>
  </si>
  <si>
    <t xml:space="preserve"> - Latinka S. u. burkolat építés</t>
  </si>
  <si>
    <t xml:space="preserve"> - Parkoló építés </t>
  </si>
  <si>
    <t xml:space="preserve"> - Almási u. - Május 1. út direktága</t>
  </si>
  <si>
    <t xml:space="preserve"> - Május 1. út 5-17 útcsatlakozás</t>
  </si>
  <si>
    <t xml:space="preserve"> - Május 1. út gyalogátkelőhelyek</t>
  </si>
  <si>
    <t xml:space="preserve"> - Vécsey út járdaépítés</t>
  </si>
  <si>
    <t xml:space="preserve"> - Öreg tó körüli és Baji úti kerékpár út tervek</t>
  </si>
  <si>
    <t xml:space="preserve"> - Nyugati tehermentesítő út tanulmányterve</t>
  </si>
  <si>
    <t xml:space="preserve"> - Bartók Béla útkorszerűsítés tervezés</t>
  </si>
  <si>
    <t xml:space="preserve"> - József A. u. - Komáromi út csomopont terv</t>
  </si>
  <si>
    <t xml:space="preserve">Áthúzódó kötelezettségvállalással terhelt feladatok: </t>
  </si>
  <si>
    <t xml:space="preserve"> - Déli Ipari park feltárú út </t>
  </si>
  <si>
    <t xml:space="preserve"> - Újpiactér </t>
  </si>
  <si>
    <t xml:space="preserve"> - Által-ér völgyi kerékpárút (pályázat előkészítés, önrész)</t>
  </si>
  <si>
    <t xml:space="preserve"> - Bartók Béla u. tömb belső burkolat korszerűsítés</t>
  </si>
  <si>
    <t xml:space="preserve"> - Árendás patak mederrendezés (vb. védmű) ebből áthúzódó 3M</t>
  </si>
  <si>
    <t xml:space="preserve"> - Dobroszláv utcai MOBA szivattyú, elektronika és energiaellátás felújítása</t>
  </si>
  <si>
    <t xml:space="preserve"> - József A. u. melletti külterület vízrendezése (övárok kivitelezése, vízügyi hatósági kötelezés alapján) áthúzódó</t>
  </si>
  <si>
    <t xml:space="preserve"> - Karácsonyi díszek, díszkivilágítás korszerűsítés II. ütem</t>
  </si>
  <si>
    <t xml:space="preserve"> - Tóparti korlátok, kőoszlopok pótlása, javítása</t>
  </si>
  <si>
    <t xml:space="preserve"> - Ivókútak, díszkútak felújítás</t>
  </si>
  <si>
    <t xml:space="preserve"> - Folyékony hulladék fogadó felújítása</t>
  </si>
  <si>
    <t xml:space="preserve"> - Vértes Volán helyi közlekedés támogatása</t>
  </si>
  <si>
    <t xml:space="preserve"> -- Peron Alapítvány</t>
  </si>
  <si>
    <t xml:space="preserve"> -- VIII. Vajdasági Szabadegyetem</t>
  </si>
  <si>
    <t xml:space="preserve"> -- Magyar Kézművességért Alapítvány</t>
  </si>
  <si>
    <t xml:space="preserve"> -- István Király lovasszobor Révkomáromban</t>
  </si>
  <si>
    <t xml:space="preserve"> - Tatai Református Egyház - családi napközi indítása</t>
  </si>
  <si>
    <t xml:space="preserve"> - Tatai Rendőrkapitányság támogatása</t>
  </si>
  <si>
    <t xml:space="preserve"> - Tatai Kenderke Református Alapfokú Művészetoktatási Intézmény - családi napközi</t>
  </si>
  <si>
    <t xml:space="preserve"> - Ház-Tűz Őrző Nők és Anyák Egyesületének - családi napközi</t>
  </si>
  <si>
    <t xml:space="preserve"> - Talentum Általános Iskola, Gimnázium és Kézműves Szakiskola működtetéséhez  támogatás</t>
  </si>
  <si>
    <t xml:space="preserve"> - TDM szervezet működésének támogatása</t>
  </si>
  <si>
    <t xml:space="preserve"> - Baji úti útkorszerűsítésre</t>
  </si>
  <si>
    <t xml:space="preserve"> - Tatai Távhő Kft. Európai Uniós pályázathoz (kötvény)</t>
  </si>
  <si>
    <t xml:space="preserve"> - 2007. évi Panel program - önerő visszafizetése lakóközösségnek </t>
  </si>
  <si>
    <t xml:space="preserve"> - Tatai Városkapu Zrt-nek  - Angolpark és szabadtéri színpad rekonstrukciója</t>
  </si>
  <si>
    <t xml:space="preserve"> - Fazekas u. 47. Ingatlanfelújítása alapfokú művészetoktatás intézmény céljára</t>
  </si>
  <si>
    <t>Óvodai nevelés teljesítménymutató alapján 2008.évi törvény szerint</t>
  </si>
  <si>
    <t>Óvodai nevelés teljesítménymutató alapján 2009.évi törvény szerint</t>
  </si>
  <si>
    <t>Általános isk.oktatás teljesítménymutató alapján 2008. évi törvény szerint I-IV.</t>
  </si>
  <si>
    <t>Általános isk.oktatás teljesítménymutató alapján 2009. évi törvény alapján I-IV.</t>
  </si>
  <si>
    <t>Általános isk.oktatás teljesítménymutató alapján 2008. évi törvény sz. V-VIII</t>
  </si>
  <si>
    <t>Általános isk.oktatás teljesítménymutató alapján 2009. évi törvény sz. V-VIII.</t>
  </si>
  <si>
    <t>Testi, érzékszervi, középsúlyos értelmi fogyatékos gyermekek óvodában</t>
  </si>
  <si>
    <t>Testi, érzékszervi, középsúlyos értelmi fogyatékos gyermekek óvodában 2009.</t>
  </si>
  <si>
    <t>Testi, érzékszervi, középsúlyos értelmi fogyatékos gyermekek isk. 2008.évi tv.</t>
  </si>
  <si>
    <t>Testi, érzékszervi, középsúlyos értelmi fogyatékos gyermekek isk. 2009.évi tv.</t>
  </si>
  <si>
    <t>Beszédfogyatékos, enyhe értelmi fogyatékos gyermekek isk. 2008.évi tv.</t>
  </si>
  <si>
    <t>Beszédfogyatékos, enyhe értelmi fogyatékos gyermekek isk.2009. évi tv.</t>
  </si>
  <si>
    <t>Viselkedés fejlődésének organikus okokra vissza nem vez. tanulók 2008.évi tv.</t>
  </si>
  <si>
    <t>Viselkedés fejlődésének organikus okokra vissza nem vez. tanulók 2009.évi tv.</t>
  </si>
  <si>
    <t>Magántanuló orvosi igazolás alapján 2008.évi tv.alapján</t>
  </si>
  <si>
    <t>Magántanuló orvosi igazolás alapján 2009. évi tv. alapján</t>
  </si>
  <si>
    <t>Alapfokú művészetoktatás, zeneművészeti ág (2008. évben 8 hónapra)</t>
  </si>
  <si>
    <t>Alapfokú művészetoktatás, zeneművészeti ág 2009. évi törvény alapján</t>
  </si>
  <si>
    <t>Alapfokú művészetoktatás képzőművészeti ág 2008. évi törvény alapján</t>
  </si>
  <si>
    <t>Alapfokú művészetoktatás képzőművészeti ág 2009. évi törvény alapján</t>
  </si>
  <si>
    <t>Nem magyar nyelven folyó kisebbségi oktatás, nevelés</t>
  </si>
  <si>
    <t>Óvodai kedvezményes étkeztetés</t>
  </si>
  <si>
    <t>Szervezett kedvezményes étkeztetés iskolában</t>
  </si>
  <si>
    <t>Kiegészítő hozzájárulás rendszeres GYEV-ben részesülő 5-6.évf.tanulók részére</t>
  </si>
  <si>
    <t>Általános iskolai napközis foglalkoztatás 2008. évi törvény alapján</t>
  </si>
  <si>
    <t>Általános iskolai napközis foglalkoztatás 2009. évi törvény alapján</t>
  </si>
  <si>
    <t>Egyes pedagógiai módszerek támogatása</t>
  </si>
  <si>
    <t xml:space="preserve"> -minősített alapfokú művészeti oktatás zeneművészeti ágon</t>
  </si>
  <si>
    <t xml:space="preserve"> -minősített alapfokú művészeti oktatás képző-és iparművészeti ág</t>
  </si>
  <si>
    <t>Tanulók tankönyv-vásárlása (ált. hozzáj.)</t>
  </si>
  <si>
    <t>Ingyenes tankönyv</t>
  </si>
  <si>
    <t>Normatív támogatások összesen</t>
  </si>
  <si>
    <t>Pedagógus szakvizsga és továbbképzés</t>
  </si>
  <si>
    <t xml:space="preserve"> Pedagógiai szakszolgálat (Vaszary)</t>
  </si>
  <si>
    <t>Diáksporttal kapcsolatos feladatok</t>
  </si>
  <si>
    <t xml:space="preserve"> Szociális továbbképzés és szakvizsga</t>
  </si>
  <si>
    <t>Normatív kötött támogatások összesen</t>
  </si>
  <si>
    <t>Normatív+kötött támogatások összesen</t>
  </si>
  <si>
    <t>Átengedett SZJA</t>
  </si>
  <si>
    <t>ÁLLAMI TÁMOGATÁS ÉS SZJA MINDÖSSZESEN</t>
  </si>
  <si>
    <r>
      <t xml:space="preserve">1 főre jutó </t>
    </r>
    <r>
      <rPr>
        <b/>
        <u val="single"/>
        <sz val="10"/>
        <rFont val="Times New Roman"/>
        <family val="1"/>
      </rPr>
      <t>állami</t>
    </r>
    <r>
      <rPr>
        <b/>
        <sz val="10"/>
        <rFont val="Times New Roman"/>
        <family val="1"/>
      </rPr>
      <t xml:space="preserve"> támogatás</t>
    </r>
  </si>
  <si>
    <r>
      <t>1 főre jutó</t>
    </r>
    <r>
      <rPr>
        <b/>
        <u val="single"/>
        <sz val="10"/>
        <rFont val="Times New Roman"/>
        <family val="1"/>
      </rPr>
      <t xml:space="preserve"> önk</t>
    </r>
    <r>
      <rPr>
        <b/>
        <sz val="10"/>
        <rFont val="Times New Roman"/>
        <family val="1"/>
      </rPr>
      <t>. támogatás</t>
    </r>
  </si>
  <si>
    <t>Ft</t>
  </si>
  <si>
    <t xml:space="preserve">Kőkúti Általános Iskola </t>
  </si>
  <si>
    <t>Vaszary J. Általános Iskola és Logopédiai Intézet</t>
  </si>
  <si>
    <t>Menner Bernát Zeneiskola</t>
  </si>
  <si>
    <t>Átmeneti segély</t>
  </si>
  <si>
    <t>Temetési segély</t>
  </si>
  <si>
    <t>Nyári gyermekétkeztetés</t>
  </si>
  <si>
    <t>Otthonteremtési támogatás</t>
  </si>
  <si>
    <t xml:space="preserve"> - "Szorgalmas Diák" ösztöndíj támogatás</t>
  </si>
  <si>
    <t>Házi segítségnyújtás szakértői bizottság működéséhez</t>
  </si>
  <si>
    <t xml:space="preserve">   - - kötvényhozam, kamat</t>
  </si>
  <si>
    <t>Természetben nyújtott átmeneti segély</t>
  </si>
  <si>
    <t>Rendszeres gyermekvédelmi támogatás (normatív)</t>
  </si>
  <si>
    <t>Rendkívüli gyermekvédelmi támogatás (helyi megállapítás)</t>
  </si>
  <si>
    <t>Rászorultságtól függő pénzbeli szociális, gyermekvédelmi ellátások összesen</t>
  </si>
  <si>
    <t xml:space="preserve"> - Tatai Távhő Kft. </t>
  </si>
  <si>
    <t xml:space="preserve">Személyi juttatások </t>
  </si>
  <si>
    <t>M.adókat terh. jár.</t>
  </si>
  <si>
    <t xml:space="preserve">Dologi egyéb folyó </t>
  </si>
  <si>
    <t>Pénzeszk. átadás és kezesség váll.</t>
  </si>
  <si>
    <t>Önk.által foly. ellátás</t>
  </si>
  <si>
    <t>Hiteltörl. Kölcsön</t>
  </si>
  <si>
    <t>Hiteltörl. kölcsön</t>
  </si>
  <si>
    <t xml:space="preserve"> - VIS MAYOR támogatás</t>
  </si>
  <si>
    <t xml:space="preserve"> - TEUT támogatás (Rákóczi u.)</t>
  </si>
  <si>
    <t>Tardosi Fekete Lajos Ált. iskola önkormányzati támogatása</t>
  </si>
  <si>
    <t>Magyarországi Nemzeti Etnikai Kis. Közalapítványtól Lengyel Kisebbségi Önk.</t>
  </si>
  <si>
    <t>Természetben nyújtott ellátások összesen</t>
  </si>
  <si>
    <t>Önkormányzatok által folyósított szociális, gyermekvédelmi ellátások összesen:</t>
  </si>
  <si>
    <t xml:space="preserve"> - normatív</t>
  </si>
  <si>
    <t xml:space="preserve"> - méltányosság </t>
  </si>
  <si>
    <t xml:space="preserve"> - lakásértékesítés (részletek törlesztése)</t>
  </si>
  <si>
    <t xml:space="preserve"> - felhalmozási célra átvett pénzeszköz</t>
  </si>
  <si>
    <t xml:space="preserve"> - támogatás egészségügyi műk. célra Tb.</t>
  </si>
  <si>
    <t>Támogatás értékű bevétel összesen:</t>
  </si>
  <si>
    <t xml:space="preserve"> - Sport támogatások:</t>
  </si>
  <si>
    <t>Tatai fiatalok életkezdési támogatásához</t>
  </si>
  <si>
    <t>Mozgáskorlátozottak támogatása</t>
  </si>
  <si>
    <t>10. sz. melléklet</t>
  </si>
  <si>
    <t>11. sz. melléklet</t>
  </si>
  <si>
    <t>Tájékoztatás céljából</t>
  </si>
  <si>
    <t>Kötvénykibocsátásból bevétel:</t>
  </si>
  <si>
    <t>M.S. Közalapítvány hitelvisszafizetés miatti pótlás</t>
  </si>
  <si>
    <t>Koncessziós díjbevétel</t>
  </si>
  <si>
    <t>2009. évi költségvetésben tervezett összeg</t>
  </si>
  <si>
    <t xml:space="preserve">Készfizető kezesség - Tatai Városkapu Zrt-nek, Tata-Tóparti Viziközmű Társ., Tatai Távhő Kft. </t>
  </si>
  <si>
    <t>Készfizető kezesség: Tata Tóparti Víziközmű, Távhő Kft.</t>
  </si>
  <si>
    <t xml:space="preserve"> - Vécsei út járdaépítés </t>
  </si>
  <si>
    <t xml:space="preserve"> - Agostyáni utca - a vasút - Feszty utca között (áthúzódó szerződés alapján) (közvilágítás)</t>
  </si>
  <si>
    <t xml:space="preserve"> - Hajdú u. 1. ingatlanvásárlás (utolsó részlet)</t>
  </si>
  <si>
    <t xml:space="preserve"> - Fényes-fürdő karsztforrásokkal összefüggő feladatok </t>
  </si>
  <si>
    <t>Felújítási feladatok 2009. évi költségvetésből:</t>
  </si>
  <si>
    <t>Felhasználási javaslat  összege a 2009. évi költségvetésben:</t>
  </si>
  <si>
    <t>Kötvényforrás tartaléka:</t>
  </si>
  <si>
    <t>Készfizető kezesség</t>
  </si>
  <si>
    <t>Kölcsön nyújtása lakáscélra:</t>
  </si>
  <si>
    <t xml:space="preserve"> - egyéb központosított támogatás</t>
  </si>
  <si>
    <t>Értékelések miatti árfolyam veszteség fedezete</t>
  </si>
  <si>
    <t>Rendszeres gyermekvédelmi támogatások</t>
  </si>
  <si>
    <t>TEUT támogatás (Rákóczi u.)</t>
  </si>
  <si>
    <t xml:space="preserve"> - Okmányiroda bútor beszerzés</t>
  </si>
  <si>
    <t xml:space="preserve"> - Fényes-fürdőn felépítmény vásárlás (Árpád-házi Szent Erzsébet Szakkórház és Rendelőintézettől)</t>
  </si>
  <si>
    <t xml:space="preserve"> - Jenő Malom megvásárlása</t>
  </si>
  <si>
    <t xml:space="preserve"> - Piarista Rendház hosszú távú hasznosítási koncepciója</t>
  </si>
  <si>
    <t xml:space="preserve"> - TOURINFORM Iroda támogatása - Városkapu Zrt.</t>
  </si>
  <si>
    <t>Államháztartáson kívülről végleges működési pénzeszközátvételek</t>
  </si>
  <si>
    <t>Felhalmozási és tőke jellegű bevételek</t>
  </si>
  <si>
    <t>28-ból önkormányzat sajátos felhalmozási és tőkebevételei</t>
  </si>
  <si>
    <t>Felhalmozási célú támogatásértékű bevételek, egyéb támogatások</t>
  </si>
  <si>
    <t>Államháztartáson kívülről végleges felhalmozási pénzeszközátvételek</t>
  </si>
  <si>
    <t>Támogatások, kiegészítések</t>
  </si>
  <si>
    <t>32-ből önkormányzatok költségvetési támogatása</t>
  </si>
  <si>
    <t>Hosszú lejáratú kölcsönök visszatérülése</t>
  </si>
  <si>
    <t>Rövid lejáratú kölcsönök visszatérülése</t>
  </si>
  <si>
    <t>Költségvetési pénzforgalmi bevételek összesen (24+28+30+31+32+34+35)</t>
  </si>
  <si>
    <t>Hosszú lejáratú hitelek felvétele</t>
  </si>
  <si>
    <t>Rövid lejáratú hitelek felvétele</t>
  </si>
  <si>
    <t>Tartós hitelviszonyt megtestesítő értékpapírok bevétele</t>
  </si>
  <si>
    <t>Forgatási célú hitelviszonyt megtestesítő értékpapírok bevételei</t>
  </si>
  <si>
    <t>Finanszírozási bevételek összesen (37+…+40)</t>
  </si>
  <si>
    <t>Pénzforgalmi bevételek (36+41)</t>
  </si>
  <si>
    <t>Pénzforgalom nélküli bevételek</t>
  </si>
  <si>
    <t>Továbbadási (lebonyolítási) célú bevételek</t>
  </si>
  <si>
    <t xml:space="preserve">Kiegyenlítő, függő, átfutó bevételek </t>
  </si>
  <si>
    <t>Bevételek összesen (42+…+45)</t>
  </si>
  <si>
    <t>Költségvetési bevételek és kiadások különbsége(36+43-13-20)</t>
  </si>
  <si>
    <t>Finanszírozási műveletek eredménye (41-18)</t>
  </si>
  <si>
    <t>Továbbadási célú bevételek és kiadások különbsége (44-21)</t>
  </si>
  <si>
    <t>Aktív és passzív pénzügyi műveletek egyenlege (45-22)</t>
  </si>
  <si>
    <t xml:space="preserve">EGYSZERŰSÍTETT PÉNZMARADVÁNY-KIMUTATÁS </t>
  </si>
  <si>
    <t>Auditálási eltérések      (+-)</t>
  </si>
  <si>
    <t>Előző évi aud.  egyszerűsítettbeszámoló záró adatai</t>
  </si>
  <si>
    <t>Tárgyévi kv. beszámoló záró adatai</t>
  </si>
  <si>
    <t>Auditálási eltérések        (+-)</t>
  </si>
  <si>
    <t>Tárgyévi aud. egyszerűsített beszámoló záró adatai</t>
  </si>
  <si>
    <t>Egyéb aktív és passzív pénzügyi elszámolások összevont záróegyenlege (+-)</t>
  </si>
  <si>
    <t>Előző év(ek)ben képzett tartalékok maradványa (-)</t>
  </si>
  <si>
    <t>Vállalkozási tevékenység pénzforgalmi eredménye (-)</t>
  </si>
  <si>
    <t>Finanszírozásból származó korrekciók (+-)</t>
  </si>
  <si>
    <t>Pénzmaradványt terhelő elvonások (+-)</t>
  </si>
  <si>
    <t>A vállalkozási tevékenység eredményéből alaptevékenység ellátásra felhasznált összeg</t>
  </si>
  <si>
    <r>
      <t>Költségvetési pénzmaradványt külön jogszabály alapján módosító tétel (</t>
    </r>
    <r>
      <rPr>
        <u val="single"/>
        <sz val="10"/>
        <rFont val="Times New Roman CE"/>
        <family val="1"/>
      </rPr>
      <t>+</t>
    </r>
    <r>
      <rPr>
        <sz val="10"/>
        <rFont val="Times New Roman CE"/>
        <family val="1"/>
      </rPr>
      <t>)</t>
    </r>
  </si>
  <si>
    <t>Módosított pénzmaradvány</t>
  </si>
  <si>
    <t>A 10. sorból az egészségbiztosítási alapból folyósított pénzeszköz maradványa</t>
  </si>
  <si>
    <t>10-ből kötelezettséggel terhelt pénzmaradvány</t>
  </si>
  <si>
    <t>10-ből szabad pénzmaradvány</t>
  </si>
  <si>
    <t>Intézmények megnevezése</t>
  </si>
  <si>
    <t>Ellátottak átlagszáma (mutatószám)</t>
  </si>
  <si>
    <t xml:space="preserve">Működési kiadás </t>
  </si>
  <si>
    <t>1 ellátottra jutó kiadás (eFt/mutató)</t>
  </si>
  <si>
    <t>Intézmény saját bevétele</t>
  </si>
  <si>
    <t>Önkormányzat állami támogatása</t>
  </si>
  <si>
    <t>Önkormányzati támogatás (saját forrás)</t>
  </si>
  <si>
    <t>összeg</t>
  </si>
  <si>
    <t>%-a</t>
  </si>
  <si>
    <t>Bartók B.utcai Óvoda</t>
  </si>
  <si>
    <t>Óvodák mindösszesen:</t>
  </si>
  <si>
    <t xml:space="preserve"> Bölcsőde</t>
  </si>
  <si>
    <t>Iskolák mindösszesen:</t>
  </si>
  <si>
    <t>Szociális Alapellátó Intézmény:</t>
  </si>
  <si>
    <t>Tájékoztatás</t>
  </si>
  <si>
    <t>Tata Város Polgármesteri Hivatalának pályázatairól (E Ft-ban)</t>
  </si>
  <si>
    <t>2008.</t>
  </si>
  <si>
    <t>Benyújtás</t>
  </si>
  <si>
    <t>Pályázat megnevezése</t>
  </si>
  <si>
    <t>Támogatandó cél</t>
  </si>
  <si>
    <t>Felelős</t>
  </si>
  <si>
    <t>Igényelt támogatás</t>
  </si>
  <si>
    <t>Megítélt támogatás</t>
  </si>
  <si>
    <t>Lehívott támogatás</t>
  </si>
  <si>
    <t>összesen</t>
  </si>
  <si>
    <t>Megjegyzés (elbírálási információk, szerződésszámok, egyéb vonatkozó tudnivalók)</t>
  </si>
  <si>
    <t>I. negyedév</t>
  </si>
  <si>
    <t>II. negyedév</t>
  </si>
  <si>
    <t>III. negyedév</t>
  </si>
  <si>
    <t>IV. negyedév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</si>
  <si>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</si>
  <si>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</si>
  <si>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</si>
  <si>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</si>
  <si>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</si>
  <si>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</si>
  <si>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</si>
  <si>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</si>
  <si>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</si>
  <si>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</si>
  <si>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</si>
  <si>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2007.</t>
  </si>
  <si>
    <t>Közép-Dunántúli Regionális Fejlesztési Tanács TEUT</t>
  </si>
  <si>
    <t>Sidlóczky Attila</t>
  </si>
  <si>
    <t>38.</t>
  </si>
  <si>
    <t>Forráshiány miatt tartaléklistára került</t>
  </si>
  <si>
    <t>39.</t>
  </si>
  <si>
    <t>Közlekedési Koordinációs Központ</t>
  </si>
  <si>
    <t>Főutak átkelési szakaszain közlekedés javítása</t>
  </si>
  <si>
    <t>Tene Gáborné</t>
  </si>
  <si>
    <t>2007/109, társfinanszírozás</t>
  </si>
  <si>
    <t>40.</t>
  </si>
  <si>
    <t>Takács Zoltán</t>
  </si>
  <si>
    <t>41.</t>
  </si>
  <si>
    <t>Nyertes pályázat</t>
  </si>
  <si>
    <t>42.</t>
  </si>
  <si>
    <t>43.</t>
  </si>
  <si>
    <t>Szabó István</t>
  </si>
  <si>
    <t>44.</t>
  </si>
  <si>
    <t>45.</t>
  </si>
  <si>
    <t>46.</t>
  </si>
  <si>
    <t>Mód.(III.31.)</t>
  </si>
  <si>
    <t>Tata Város Önkormányzata által folyósított 2009. évi ellátások alakulásának részletezése</t>
  </si>
  <si>
    <t>Pénzeszközátadások, támogatások 2009. évi előirányzata (E Ft-ban)</t>
  </si>
  <si>
    <t>2009. évi alakulása (E Ft-ban)</t>
  </si>
  <si>
    <t>Kamatbevétel kötvényből</t>
  </si>
  <si>
    <t>Választókerületi keret</t>
  </si>
  <si>
    <t>Felhalmozási célú pénzeszközátadások és támogatások:</t>
  </si>
  <si>
    <t>Működési célú pénzeszközátadások és támogatások a Polgármesteri Hivatalnál:</t>
  </si>
  <si>
    <t>támogatásértékű bevételei és államháztartáson kívülről átvett pénzeszközeinek</t>
  </si>
  <si>
    <t xml:space="preserve">E Ft-ban </t>
  </si>
  <si>
    <t xml:space="preserve"> - lakbér</t>
  </si>
  <si>
    <t xml:space="preserve"> - támogatás értékű működési bevételek</t>
  </si>
  <si>
    <t xml:space="preserve"> - támogatás értékű felhalmozási bevételek</t>
  </si>
  <si>
    <t>Adósságkezelési szolgáltatással kapcsolatos támogatás</t>
  </si>
  <si>
    <t xml:space="preserve"> - Szociális gyermekjóléti és egészségvédelmi pályázatokra </t>
  </si>
  <si>
    <t xml:space="preserve"> - Kulturális pályázatokra</t>
  </si>
  <si>
    <t xml:space="preserve"> - Művészeti Iskola támogatása - Református Egyház, Kenderke</t>
  </si>
  <si>
    <t xml:space="preserve"> - Concerto Kht. támogatása</t>
  </si>
  <si>
    <t xml:space="preserve"> - Környezetvédelmi támogatásra</t>
  </si>
  <si>
    <t>Közlekedési támogatás tanulóknak</t>
  </si>
  <si>
    <t>Kölcsön visszatérülés(lakástám.,szoc+munkált., Távhő, egyéb)</t>
  </si>
  <si>
    <t>Újhegy ivóvízellátás fejlesztéshez közműfejlesztési hozzájárulás</t>
  </si>
  <si>
    <t xml:space="preserve"> - Tatabányai Tűzoltóság eszközfejlesztésére</t>
  </si>
  <si>
    <t xml:space="preserve"> - Barokk Fesztivál</t>
  </si>
  <si>
    <t xml:space="preserve"> - TIT KEM Egyesület támogatása</t>
  </si>
  <si>
    <t xml:space="preserve"> - Pötörke Népművészeti Egyesület</t>
  </si>
  <si>
    <t xml:space="preserve"> - Tatai Televízió Közalapítvány felhalmozási célú támogatása</t>
  </si>
  <si>
    <t>Házi segítségnyújtás előtti szakértői vizsgálatra</t>
  </si>
  <si>
    <t xml:space="preserve"> - működési célra átvett pénzeszköz</t>
  </si>
  <si>
    <t xml:space="preserve"> -- Késedelmi pótlék</t>
  </si>
  <si>
    <t xml:space="preserve"> - Intézményi saját bevétel </t>
  </si>
  <si>
    <t>Tardostól zenei alapfokú oktatáshoz</t>
  </si>
  <si>
    <t xml:space="preserve"> - Gondozási díj</t>
  </si>
  <si>
    <t xml:space="preserve"> - Városi kitüntetés Eszterházy Énekegyüttes</t>
  </si>
  <si>
    <t>Erdeti</t>
  </si>
  <si>
    <t xml:space="preserve"> - központosított támogatás - kisebbségi önkormányzatoknak</t>
  </si>
  <si>
    <t xml:space="preserve"> - Kuny Domokos Múzeum támogatása (ebből Zsinagóga körüli parkra 300 E Ft)</t>
  </si>
  <si>
    <t>E Ft-ban</t>
  </si>
  <si>
    <t xml:space="preserve"> - ÁFA bevételek, visszatérülés</t>
  </si>
  <si>
    <t xml:space="preserve"> - kamatbevételek</t>
  </si>
  <si>
    <t>Intézm. működ. bevételei összesen</t>
  </si>
  <si>
    <t xml:space="preserve"> - átengedett SZJA</t>
  </si>
  <si>
    <t xml:space="preserve"> - gépjárműadó</t>
  </si>
  <si>
    <t xml:space="preserve"> - termőföld bérbeadásából SZJA</t>
  </si>
  <si>
    <t>Működési bevételek összesen</t>
  </si>
  <si>
    <t xml:space="preserve"> - földterület értékesítés</t>
  </si>
  <si>
    <t xml:space="preserve"> - normatív állami hozzájárulás</t>
  </si>
  <si>
    <t>Bevételek Mindösszesen:</t>
  </si>
  <si>
    <t>Felhalm. és tőkejellegű bevétel össz.</t>
  </si>
  <si>
    <t>Bevételek</t>
  </si>
  <si>
    <t xml:space="preserve">8.sz. melléklet </t>
  </si>
  <si>
    <t>Időskorúak járadéka</t>
  </si>
  <si>
    <t>Köztemetés</t>
  </si>
  <si>
    <t>Közgyógyellátás</t>
  </si>
  <si>
    <t>9. sz. melléklet</t>
  </si>
  <si>
    <t>(E Ft-ban)</t>
  </si>
  <si>
    <t xml:space="preserve"> - egyéb ingatlan értékesítés</t>
  </si>
  <si>
    <t xml:space="preserve"> - Juniorka Óvoda alapítványi támogatása</t>
  </si>
  <si>
    <t xml:space="preserve"> - Tanulmányi ösztöndíjra (Mecénás közalap, Bursa Hungarica)</t>
  </si>
  <si>
    <t xml:space="preserve"> - Színes Iskola támogatása</t>
  </si>
  <si>
    <t xml:space="preserve"> - Juniorka Bölcsőde támogatása</t>
  </si>
  <si>
    <t xml:space="preserve"> - Vöröskereszt tatai szervezetének támogatása</t>
  </si>
  <si>
    <t xml:space="preserve"> - Polgárőr Egyesület támogatása</t>
  </si>
  <si>
    <t xml:space="preserve"> - Víz - Zene - Virág Fesztivál Egyesület támogatása</t>
  </si>
  <si>
    <t xml:space="preserve"> - Lakáscélú szociális támogatás végleges jelleggel</t>
  </si>
  <si>
    <t xml:space="preserve"> - Talajterhelési díj</t>
  </si>
  <si>
    <t>Önk. Sajátos működ. bev. összesen</t>
  </si>
  <si>
    <t>Önk.költségvetési támogatás össz.</t>
  </si>
  <si>
    <t>2. sz. melléklet</t>
  </si>
  <si>
    <t>6. sz. melléklet</t>
  </si>
  <si>
    <t>7. sz. melléklet</t>
  </si>
  <si>
    <t xml:space="preserve"> - Máltai Szeretetszolgálat támogatása</t>
  </si>
  <si>
    <t xml:space="preserve"> - működési célú tartalék- lemondásra kerülő állami hozzájárulás</t>
  </si>
  <si>
    <t>Önkormányzati költségvetési szervek engedélyezett álláshelyeinek száma</t>
  </si>
  <si>
    <t xml:space="preserve"> - működési céltartalék THAC kézilabda </t>
  </si>
  <si>
    <t xml:space="preserve"> - felhalmozási célútartalék - elővásárlási jog érv.</t>
  </si>
  <si>
    <t xml:space="preserve"> - működési céltartalék</t>
  </si>
  <si>
    <t xml:space="preserve"> - működési céltartalék - THAC kézilabda szakosztály</t>
  </si>
  <si>
    <t>Finanszírozási kiadások összesen:</t>
  </si>
  <si>
    <t>Bevételek összesen:</t>
  </si>
  <si>
    <t xml:space="preserve"> - működési célútartalék áll. tám. lemondási kötel.miatt</t>
  </si>
  <si>
    <t xml:space="preserve"> - fejl.célú tartalék elővásárlási jog érv.</t>
  </si>
  <si>
    <t xml:space="preserve">Fejlesztési célú tartalék - elővásárlási jog érv. </t>
  </si>
  <si>
    <t>Működési céltartalék THAC kézilabda szakosztály</t>
  </si>
  <si>
    <t>Fazekas u. Tagintézmény</t>
  </si>
  <si>
    <t>221 214</t>
  </si>
  <si>
    <t>Saját vagy bérelt ingatlan hasznosítása (Agostyáni 1-3., egyéb)</t>
  </si>
  <si>
    <t>"Gyermekbarát város" kiadásai</t>
  </si>
  <si>
    <t>Fürdő és strandszolg.</t>
  </si>
  <si>
    <t>Társadalmi és családi ünnepek</t>
  </si>
  <si>
    <t>Testvérvárosi feladatok kialakítása</t>
  </si>
  <si>
    <t>Fizetendő ÁFA</t>
  </si>
  <si>
    <t>Kisebbségi Önkormányzatok</t>
  </si>
  <si>
    <t>Fürdő utcai Óvoda</t>
  </si>
  <si>
    <t>Kálvária utcai Óvoda</t>
  </si>
  <si>
    <t>Kuckó Óvoda</t>
  </si>
  <si>
    <t>Geszti Óvoda</t>
  </si>
  <si>
    <t>Kertvárosi Óvoda</t>
  </si>
  <si>
    <t>Bergengócia Óvoda</t>
  </si>
  <si>
    <t>Lakások értékesítése</t>
  </si>
  <si>
    <t xml:space="preserve"> - Lakáscélú támogatás (lakossági, munkáltatói kölcsönök)</t>
  </si>
  <si>
    <t>Kötvény hozam</t>
  </si>
  <si>
    <t>Városkapu Közhasznú Zrt. kiadásai - közművelődési és közhasznú feladatokra</t>
  </si>
  <si>
    <t>Kistérségi Tanuszoda</t>
  </si>
  <si>
    <t>Városmarketing feladatok + lapkiadás</t>
  </si>
  <si>
    <t>Általános tartalék</t>
  </si>
  <si>
    <t>Járulék</t>
  </si>
  <si>
    <t>Dologi kiadás</t>
  </si>
  <si>
    <t>Pénzeszköz átadás</t>
  </si>
  <si>
    <t>Szociális juttatás</t>
  </si>
  <si>
    <t>Ellátottak juttatásai</t>
  </si>
  <si>
    <t>Általános műk. Tartalék</t>
  </si>
  <si>
    <t>Kamatm. váll. kölcs vissz.</t>
  </si>
  <si>
    <t>Működési hiány</t>
  </si>
  <si>
    <t>Lakásértékesítés</t>
  </si>
  <si>
    <t>Munkaadókat terhelő járulékok</t>
  </si>
  <si>
    <t>Pénzeszközátadás</t>
  </si>
  <si>
    <t>Önk.által folyósított ellátások</t>
  </si>
  <si>
    <t>Ellátottak pénzbeli juttatásai</t>
  </si>
  <si>
    <t>Dologi és egyéb folyók. össz.:</t>
  </si>
  <si>
    <t>Önk.sajátos működési bev.</t>
  </si>
  <si>
    <t>Polgármesteri Hivatal</t>
  </si>
  <si>
    <t>Költségvetési szervek megnevezése</t>
  </si>
  <si>
    <t>Engedélyezett létszám (fő)</t>
  </si>
  <si>
    <t>Bartók B. úti Óvoda</t>
  </si>
  <si>
    <t>Vaszary János Általános Iskola</t>
  </si>
  <si>
    <t>Vaszary János Általános Iskola - Jázmin tagintézmény</t>
  </si>
  <si>
    <t>Móricz Zsigmond Könyvtár</t>
  </si>
  <si>
    <t>Intézmények Gazdasági Hivatala összesen</t>
  </si>
  <si>
    <t>Városi Önkormányzat Intézmények összesen:</t>
  </si>
  <si>
    <t>Polgármesteri Hivatal: -köztisztviselők, ügykezelők</t>
  </si>
  <si>
    <t xml:space="preserve"> - választott tisztségviselő</t>
  </si>
  <si>
    <t xml:space="preserve"> - köztisztviselők, ügyintézők (2009.IV.01-től)</t>
  </si>
  <si>
    <t xml:space="preserve"> - Közterület-felügyelet (önállóan működő)</t>
  </si>
  <si>
    <t>Szociális Alapellátó Intézmény (számszaki javítás)</t>
  </si>
  <si>
    <t xml:space="preserve"> - Új úti gyalogátkelőhelyek ("Gyerekbarát város" programja)</t>
  </si>
  <si>
    <t xml:space="preserve"> - Agostyáni út II. ütem kivitelezés ( Feszty u.- Hollósi u. közvilágítás)</t>
  </si>
  <si>
    <t xml:space="preserve"> - József A. u. melletti terület kisajátítása</t>
  </si>
  <si>
    <t>Tanuszoda igénybevételére Kistérségi Önkormányzatoktól</t>
  </si>
  <si>
    <t xml:space="preserve"> - Tatai Városgazda Nonprofit Kft. - Angolkert és Cseke-tó rendbetétele</t>
  </si>
  <si>
    <t xml:space="preserve"> - Tatai kistérség - önkormányzati épületek energetikai rekostrukciója - támogatás</t>
  </si>
  <si>
    <t>Vis Mayor támogatás</t>
  </si>
  <si>
    <t xml:space="preserve">            - Víz-Zene-Virág Fesztivál Egyesület</t>
  </si>
  <si>
    <t xml:space="preserve">            - Tatai Fényes Fürdő Kft-nek</t>
  </si>
  <si>
    <t xml:space="preserve">            - Tatai Távhő Kft-nek</t>
  </si>
  <si>
    <t>Vaszary János Általános Iskola - Tardos tagintézmény</t>
  </si>
  <si>
    <t>Intézmények Gazdasági Hivatalához tartozó részben önálló intézmények 2009. évi költségvetése</t>
  </si>
  <si>
    <t>Költségvetési alcím megnevezése</t>
  </si>
  <si>
    <t>Egyéb saját bevétel</t>
  </si>
  <si>
    <t>Egyéb saját bevételből ellátottak étkezési térítési díj bevétele</t>
  </si>
  <si>
    <t>ÁFA</t>
  </si>
  <si>
    <t>Kamat-bevételek</t>
  </si>
  <si>
    <t>Átvett pénzeszközök</t>
  </si>
  <si>
    <t>Támogatásértékű bevétel</t>
  </si>
  <si>
    <t>Tárgyi eszköz, immat. javak értékesítése</t>
  </si>
  <si>
    <t>Pénzmaradvány</t>
  </si>
  <si>
    <t>Bevételek összesen</t>
  </si>
  <si>
    <t>Kiadások összesen</t>
  </si>
  <si>
    <t>működési célra</t>
  </si>
  <si>
    <t xml:space="preserve"> - Tatai Városfejlesztő Kft. - jegyzett tőke emelés</t>
  </si>
  <si>
    <t xml:space="preserve"> - Fényes Fürdő Kft. - jegyzettőke emelés</t>
  </si>
  <si>
    <t>( kiemelt előirányzatok szerinti részletezésben ) E Ft-ban</t>
  </si>
  <si>
    <t>Szivárvány Óvoda</t>
  </si>
  <si>
    <t>Piros Óvoda</t>
  </si>
  <si>
    <t>Új úti Bölcsőde</t>
  </si>
  <si>
    <t>Kölcsönnyújtás összesen</t>
  </si>
  <si>
    <t>Kölcsönnyújtás ( lakás támog. szoc + munk.)</t>
  </si>
  <si>
    <t>TEUT támogatás</t>
  </si>
  <si>
    <t>Kiegyenlítő, függő, átfutó</t>
  </si>
  <si>
    <t>Előző évi pénzmaradvány átvétele</t>
  </si>
  <si>
    <t>Kiadások mindösszesen:</t>
  </si>
  <si>
    <t>Bevételek mindösszesen:</t>
  </si>
  <si>
    <t xml:space="preserve">Kiegészülések, visszatérülések </t>
  </si>
  <si>
    <t>Finanszírozási bevételek:</t>
  </si>
  <si>
    <t xml:space="preserve"> - Idegenforgalmi feladatok</t>
  </si>
  <si>
    <t>Felhalmozási célra átvett pénzeszközök</t>
  </si>
  <si>
    <t>Támog. értékű bevételek összesen:</t>
  </si>
  <si>
    <t>Hiteltörlesztés - hosszú lejáratú</t>
  </si>
  <si>
    <t>Eü. műk. TB támogatása</t>
  </si>
  <si>
    <t xml:space="preserve"> - felhalmozási céltartalék - kötvényből</t>
  </si>
  <si>
    <t xml:space="preserve"> - felhalmozási céltartalék - egyéb feladatokra</t>
  </si>
  <si>
    <t xml:space="preserve"> - fejl.célú tartalék egyéb feladatokra</t>
  </si>
  <si>
    <t>Felhalmozási céltartalék - egyéb feladatokra</t>
  </si>
  <si>
    <t>Kölcsön visszatérülés (lakástámogatás 11 M Ft, Távhő 41 M Ft,             Víz-Zene-Virág Fesztivál 2 M Ft, Fényes Fürdő Kft. 5 M Ft)</t>
  </si>
  <si>
    <t>Felhalmozási céltartalék - kötvényből pü. befektetés</t>
  </si>
  <si>
    <t>Mód.(XII.16.)</t>
  </si>
  <si>
    <t>Fényes Fürdő tagi kölcsön átminősítés</t>
  </si>
  <si>
    <t xml:space="preserve">Fényes-fürdő tagi kölcsön átminősítés </t>
  </si>
  <si>
    <t>ÁROP pályázat</t>
  </si>
  <si>
    <t>"Kihiváok hét keretében" pályázat</t>
  </si>
  <si>
    <t>Gyermekbarát Városra pályázati támogatás</t>
  </si>
  <si>
    <t>Minimarathon pályázat</t>
  </si>
  <si>
    <t>Kábítószeres pályázat</t>
  </si>
  <si>
    <t>Intézmények energiaracionalizálása pályázat</t>
  </si>
  <si>
    <t>Bartók Béla utcai Óvoda pályázat</t>
  </si>
  <si>
    <t xml:space="preserve">Gyermekbarát Városra </t>
  </si>
  <si>
    <t>Pénzügyi befektetésből - működésre átforgatva</t>
  </si>
  <si>
    <t>Pénzügyi befektetés (kötvényből) kamata</t>
  </si>
  <si>
    <t>Tatai Fényes-fürdő Kft. tagi kölcsön kamat</t>
  </si>
  <si>
    <t>Tatai Fényes-fürdő Kft. részére tagi kölcsön átminősítése</t>
  </si>
  <si>
    <t>HUSK pályázat</t>
  </si>
  <si>
    <t xml:space="preserve"> - Képviselői keretből megvalósuló felújítások</t>
  </si>
  <si>
    <t xml:space="preserve">  -- Gesztenye fasor 35. melletti játszótér körbekerítése (Borsó Tibor keretéből)</t>
  </si>
  <si>
    <t xml:space="preserve">  -- Gesztenye fasor 45. játszótér rendezése (Borsó Tibor keretéből)</t>
  </si>
  <si>
    <t xml:space="preserve">  -- Bacsó B. u. járda felújítás (Dr. Czunyi Zoltán keretéből)</t>
  </si>
  <si>
    <t xml:space="preserve">  -- Erzsébet tér parkfelújítás (Kaszál József keretéből)</t>
  </si>
  <si>
    <t xml:space="preserve">  -- Toldi M. u. járda felújítás (Kovács Attila keretéből 1.000 EFt)</t>
  </si>
  <si>
    <t xml:space="preserve">  -- Bajcsy Zs. u.-Lovassy u. közötti köz, Agostyáni u. 11 előtti járda, Május 1. u. 5-17 végében járda felúj. (dr. Varga András keretéből)</t>
  </si>
  <si>
    <t xml:space="preserve">  -- Agostyáni u. - Bacsó B. u. sarkán lévő játszótér bekerítése (dr. Varga András keretéből)</t>
  </si>
  <si>
    <t>Angol Park rekonstrukciója pályázati támogatás</t>
  </si>
  <si>
    <t xml:space="preserve"> - Tatai Gesztenye fasori kazánház átalakítására (Tatai Távhőszolgáltató Kft.)</t>
  </si>
  <si>
    <t xml:space="preserve"> - Fényes-fürdő Kft. tagi kölcsön eredménytartalékba helyezése</t>
  </si>
  <si>
    <t xml:space="preserve">  -- Agostyán, templom padfűtés és villanyszerelési munkák (Dr. Pethő Emil keretéből)</t>
  </si>
  <si>
    <t xml:space="preserve"> - Lengyel Kisebbség - Magyarországi Bem József Lengyel Kulturális Egyesület támogatása</t>
  </si>
  <si>
    <t xml:space="preserve"> - Corvinus Egyetem Kert- és Szabadtér tervezési Tanszéke</t>
  </si>
  <si>
    <t xml:space="preserve"> - Baji úti útkorszerűsítésre pénzeszköz átadás Útpénztárnak</t>
  </si>
  <si>
    <t xml:space="preserve"> - Panel program 2007.évi önerő visszafizetése lakóközösségnek</t>
  </si>
  <si>
    <t xml:space="preserve"> - Városgazda Kft. KEOP pályázatra (Angolkert )</t>
  </si>
  <si>
    <t xml:space="preserve"> - Tatai Kistérségi Többcélú Társulás (KEOP-2009-5.3.0/A épületenergatikai fejlesztések pályázatra)</t>
  </si>
  <si>
    <t xml:space="preserve"> - Városkapu Zrt-nek az Angol kerttel kapcsolatos pályázattal felmerülő költségek fedezetére</t>
  </si>
  <si>
    <t>Felhalmozási célú pénzeszközátadás összesen:</t>
  </si>
  <si>
    <t>Kamatmentes kölcsön biztosítása Tatai Távhő Kft-nek ÖKO pályázat megvalósításához</t>
  </si>
  <si>
    <t>2009. évi felújítási kiadások célonként (ÁFA-val)</t>
  </si>
  <si>
    <t xml:space="preserve"> - Diófa utca burkolat felújítása (pályázati önerő - KDOP)</t>
  </si>
  <si>
    <t xml:space="preserve"> - Klapka Gy. u. felújítása</t>
  </si>
  <si>
    <t xml:space="preserve"> - Balatonvilágosi üdülő fürdőszobák felújítása</t>
  </si>
  <si>
    <t xml:space="preserve"> - Játszóterekre új eszközök kihelyezée</t>
  </si>
  <si>
    <t xml:space="preserve"> - Keszthelyi úti játszótér melletti járda átépítése pótmunkák</t>
  </si>
  <si>
    <t xml:space="preserve"> - TEUT (2009. évi) pályázatokhoz készített tervek</t>
  </si>
  <si>
    <t xml:space="preserve"> - Építők Parkja útkorszerűsítés tervek</t>
  </si>
  <si>
    <t xml:space="preserve"> - Vasút u. útkoszerűsítés tervek</t>
  </si>
  <si>
    <t xml:space="preserve"> - Deák F. u. burkolat felújítása tervek</t>
  </si>
  <si>
    <t xml:space="preserve"> - Tervezési feladatok (Kinizsi u., Újvilág u., Balogh F. u., Gesztenye fasor, Dózsa Gy. u. kerékpárút, Piactér, Ady E. u.)</t>
  </si>
  <si>
    <t xml:space="preserve"> -- Építéshatóság részére számítástechnkai eszköz beszerzés</t>
  </si>
  <si>
    <t xml:space="preserve"> - Borostyán ház megnevezésű felépítmény várárlása</t>
  </si>
  <si>
    <t xml:space="preserve"> - József A. u. csapadékvíz rendezése KDOP-2009-4.1.1.E pályázat előkészítés</t>
  </si>
  <si>
    <t xml:space="preserve"> - Nagy L. u., Váczi M. u., Tavasz u. csapadékvíz rendezése KDOP-2009-4.1.1.E.</t>
  </si>
  <si>
    <t xml:space="preserve"> - Rendezvényház előkészítési munkáira</t>
  </si>
  <si>
    <t xml:space="preserve"> - Fürdő u. - Bláthy O. u. közötti átkötés tervezése</t>
  </si>
  <si>
    <t xml:space="preserve"> - Parkolóhelyek tervezése</t>
  </si>
  <si>
    <t xml:space="preserve"> - Járdák tervezése (Fekete u., Komáromi u.)</t>
  </si>
  <si>
    <t xml:space="preserve"> - Polgármesteri Hivatal akadálymentesítés (pályázati önerő) KDOP-2009-5.3.2.</t>
  </si>
  <si>
    <t xml:space="preserve"> - Tatai Városgazda Nonprofit Kft. telephely kialakításra, pályázati önerő</t>
  </si>
  <si>
    <t xml:space="preserve"> - Közművelődési fel. ell. Városkapu Zrt-nek (közhasznú, közművelődési megáll. alapján)</t>
  </si>
  <si>
    <t xml:space="preserve">   -- Városi sportegyesületek szakosztályainak működésére pályázati alap</t>
  </si>
  <si>
    <t xml:space="preserve">   -- Kőkúti Sasok DSE</t>
  </si>
  <si>
    <t xml:space="preserve">   -- Sport pályázatokra</t>
  </si>
  <si>
    <t>Ebből zárolt</t>
  </si>
  <si>
    <t xml:space="preserve"> - Székely Bertalan u. - Eszperantó tér  oszlopsűrítés, átépítés (közvilágítás)</t>
  </si>
  <si>
    <t xml:space="preserve"> - Agostyáni u.- a  vasút - Feszty u. között (áthúzódó szerződés alapján) (közvilágítás)</t>
  </si>
  <si>
    <t xml:space="preserve"> - Fazekas u. iskola környékén közvilágítás bővítés</t>
  </si>
  <si>
    <t xml:space="preserve">Ápolási díj járulék 24 % </t>
  </si>
  <si>
    <t xml:space="preserve"> - Háziorvosok szerződés szerinti támogatása (21 praxis, 250 E Ft/év/praxis)</t>
  </si>
  <si>
    <t xml:space="preserve">   -- THAC - kézilabda szakosztály férfi csapata (800 E Ft/hó)</t>
  </si>
  <si>
    <t xml:space="preserve"> - Kenderke Néptánc Egyesület támogatása </t>
  </si>
  <si>
    <t xml:space="preserve"> - Kocsi u. - Környei u. jelzőlámpa</t>
  </si>
  <si>
    <t xml:space="preserve"> - Kötvényből Panel Program támogatása, ÖKO-program, NEP pályázatok támogatása</t>
  </si>
  <si>
    <t xml:space="preserve"> - Juniorka Óvoda Alapítványi támogatása felújításra</t>
  </si>
  <si>
    <t xml:space="preserve"> - Kis és középvállalkozások támogatása</t>
  </si>
  <si>
    <t xml:space="preserve">Elkülönített alapoktól közhasznúra átvett </t>
  </si>
  <si>
    <t>Támogató szolgálat 2009. évi működésére Foglalkoztatási és Szociális Hivatal</t>
  </si>
  <si>
    <t>Kölcsön</t>
  </si>
  <si>
    <t xml:space="preserve"> - Új piactér </t>
  </si>
  <si>
    <t>Előző év(ek)ben képzett költség. tartalékok maradványa (-)</t>
  </si>
  <si>
    <t>Előző év(ek)ben képzett vállal. tartalékok maradványa (-)</t>
  </si>
  <si>
    <t>Előző év(ek)ben képzett tartalékok maradványa (17+18) (-)</t>
  </si>
  <si>
    <t>Vállalkozási tevékenység pénzforgalmi vállalkozási m. (-)</t>
  </si>
  <si>
    <t>Tárgyévi helyesbített pénzmaradvány (4+7+16+19+20)</t>
  </si>
  <si>
    <t>Költésgvetési befizetés többlettámogatás miatt</t>
  </si>
  <si>
    <t>Költségvetési kiutalás kiutalatlan intézm.-i támog. miatt</t>
  </si>
  <si>
    <t>Finanszírozásból származó korrekciók (22+23+24+25) (+-)</t>
  </si>
  <si>
    <t>Pénzmaradványt terhelő elvonások (-)</t>
  </si>
  <si>
    <t>Költségvetési pénzmaradvány (21+26+27)</t>
  </si>
  <si>
    <t>Vállalkozási tev. eredményéből alaptev. ellát-ra felhszn. össz.</t>
  </si>
  <si>
    <t>Pénzmaradványt külön jogszabály alapján mód. tétel (+-)</t>
  </si>
  <si>
    <t>Módosított pénzmaradvány (28+29+30)</t>
  </si>
  <si>
    <t>Egészségbizt. Alapból foly. pénzeszk. maradvány</t>
  </si>
  <si>
    <t>Kötelezettséggel terhelt pénzmaradvány</t>
  </si>
  <si>
    <t xml:space="preserve"> - Működési célú kötelezettséggel terhelt pénzmaradvány</t>
  </si>
  <si>
    <t xml:space="preserve"> - Felhalmozási célú kötelezettséggel terhelt pénzmaradvány</t>
  </si>
  <si>
    <t>Szabad pénzmaradvány</t>
  </si>
  <si>
    <t xml:space="preserve"> - Működési célú szabad pénzmaradvány</t>
  </si>
  <si>
    <t xml:space="preserve"> - Felhalmozási célú szabad pénzmaradvány</t>
  </si>
  <si>
    <t>Tata Város Önkormányzat irányítása alá tartozó költségvetési szervek 2009. évi pénzmaradványa (Eft-ban)</t>
  </si>
  <si>
    <t>Önkormámyzati intézmények 2009. évi pénzügyi ellátottsága (E Ft-ban)</t>
  </si>
  <si>
    <t>1) Építményadó</t>
  </si>
  <si>
    <t>II. Adókedvezmény</t>
  </si>
  <si>
    <t>Adóelengedés</t>
  </si>
  <si>
    <t>Finanszírozási (forgatási célú értékpapír) műveletek elszámolása</t>
  </si>
  <si>
    <t>A.) Tata Város Önkormányzatának hitel- és kötvényállománya  2009. december 31-én (E Ft-ban)</t>
  </si>
  <si>
    <t>2009. évi nyitó állomány</t>
  </si>
  <si>
    <t>2009.  XII. 31-i állomány</t>
  </si>
  <si>
    <t>2010. évi törlesztő részlet</t>
  </si>
  <si>
    <t>2009. évi hitel törlesztés</t>
  </si>
  <si>
    <t>2009. XII.31-i állomány értékelés után</t>
  </si>
  <si>
    <t>Fejlesztési hitelek kisbusz vásárlás</t>
  </si>
  <si>
    <t>Hosszú lejáratú fejlesztési hitel (felhalmozási hiány fedezetére)</t>
  </si>
  <si>
    <t>Fejlesztési célú kötvény kibocsátás</t>
  </si>
  <si>
    <t>12. sz. melléklet</t>
  </si>
  <si>
    <t>2009. évi nyitó értékpapír állomány,pénzkészlet</t>
  </si>
  <si>
    <t>Értékpapír értékesítés</t>
  </si>
  <si>
    <t>Értékpapír értékesítés bevétele</t>
  </si>
  <si>
    <t>Visszaigényelt áfa (Tatai Távhőszolgáltató Kft.)</t>
  </si>
  <si>
    <t>Értékelési különbözet</t>
  </si>
  <si>
    <t>Kötvénykibocsátással kapcsolatos működési kiadások:</t>
  </si>
  <si>
    <t>Kötvény kamat fizetési kötelezettség</t>
  </si>
  <si>
    <t>Priv-Invest Kft.-Prémium(2008.év)</t>
  </si>
  <si>
    <t>Pénzügyi befektetésből-működésre átforgatva</t>
  </si>
  <si>
    <t>Beruházási feladatok 2009. évi:</t>
  </si>
  <si>
    <t>Forgatási célú pénzügyi műveletek egyenlege</t>
  </si>
  <si>
    <t>Tárgyévi helyesbített pénzmaradvány (1+-2+-3-4-5)</t>
  </si>
  <si>
    <t xml:space="preserve"> - Csapadékcsatorna és úttelek vásárlása 460/89 hrsz, 460/111 hrsz</t>
  </si>
  <si>
    <t xml:space="preserve"> - Deák F. u.-i szoc. Alapellátó infrastuktúrális fejlesztése pályázat előkészítése pályázat előkészítés</t>
  </si>
  <si>
    <t xml:space="preserve"> - Új u-i bölcsöde infrastuktúrális fejlesztése pályázat előkészítés</t>
  </si>
  <si>
    <t xml:space="preserve"> - Bartók B. u-i Óvoda - tárgyi eszköz vásárlás</t>
  </si>
  <si>
    <t xml:space="preserve"> - Vaszary J. Ált. Iskola - számítógép vásárlás</t>
  </si>
  <si>
    <t xml:space="preserve"> - Menner B. Zeneiskola - eszközbeszerzés</t>
  </si>
  <si>
    <t xml:space="preserve"> - Móricz Zs. könyvtár - informatikai eszközök beszerzése</t>
  </si>
  <si>
    <t>141/2009./V.27./ és a 225/2009./VI.24./ sz. határozat alapján nyertes pályázat</t>
  </si>
  <si>
    <t>KDOP-2009-5.3.2.</t>
  </si>
  <si>
    <t>Egyenlő esélyű hozzáférés a közszolgáltatásokhoz - Polgármesteri Hivatal Komplex akadálymentesítése</t>
  </si>
  <si>
    <t xml:space="preserve"> Lakos Zsuzsanna </t>
  </si>
  <si>
    <t>226/2009./VI.24./ sz.,  281/2009./IX.9./ sz. és a 343/2009./IX.30./ sz. határozatok alapján, elutasítva, jogi kifogást emeltünk</t>
  </si>
  <si>
    <t>KDOP-2009-4.2.1/B</t>
  </si>
  <si>
    <t>Belterületi utak fejlesztése - Tesco elkerülő út, Ring út</t>
  </si>
  <si>
    <t>141/2009./V.27./ és a 226/2009./VI.24./ sz. határozatok alapján</t>
  </si>
  <si>
    <t>KDOP-2009-4.1.1.E</t>
  </si>
  <si>
    <t>Települési vízrendezés fejlesztése - József A. u. vízrendezése</t>
  </si>
  <si>
    <t>141/2009./V.27./, 226/2009./VI.24./, 284/2009./IX.9./ sz. és a 372/2009./X.28./ sz. határozatok alapján , elutasítva, fellebbezve</t>
  </si>
  <si>
    <t>KDOP-2009-4.1.1/A</t>
  </si>
  <si>
    <t>Szennyvízelvezetés és kezelés fejlesztése - Újhegy</t>
  </si>
  <si>
    <t>Vis maior igény - Újhegyi vízfolyás</t>
  </si>
  <si>
    <t>238/2009./VI.24./ sz. határozat alapján</t>
  </si>
  <si>
    <t>Vis maior igény - Kakas utcai árok</t>
  </si>
  <si>
    <t>Vis maior igény - 0150, 0115 hrsz-ú út</t>
  </si>
  <si>
    <t>KEOP-2009-5.3.0/A</t>
  </si>
  <si>
    <t>Tatai kistérség - önkormányzati épületek energetikai rekonstrukciója (Épületenergetikai fejlesztés, közvilágítás korsz.)</t>
  </si>
  <si>
    <t>Lakos Zsusza</t>
  </si>
  <si>
    <t>256/2009./VII.2./ sz. és a 385/2009./X.28./ határozatok alapján, mint a Tatai Kistérségi Többcélú Társulás tagja</t>
  </si>
  <si>
    <t>KDOP-1.1.1./A</t>
  </si>
  <si>
    <t>Ipari park feltáró út, Tata / Eszterházy körút (Tesco-Kocsi u. közötti szakasz)</t>
  </si>
  <si>
    <t>Előkészítés alatt 141/2009./V.27./ sz. határozat alapján, az ipari parki út megépítése nem önkormányzati beruházásban valósul meg</t>
  </si>
  <si>
    <t xml:space="preserve">2009. </t>
  </si>
  <si>
    <t>KDOP-1.1.1./B</t>
  </si>
  <si>
    <t>Inkubátroház kialakítása a Tata déli ipari parkban</t>
  </si>
  <si>
    <t>Előkészítés alatt 141/2009./V.27./ sz. határozat alapján</t>
  </si>
  <si>
    <t>KDOP-1.1.1/D</t>
  </si>
  <si>
    <t>Tatán letelepedni szándékozó vállalkozásokkal kialakítandó projekt</t>
  </si>
  <si>
    <t>Tata-Neszmélyi Borút</t>
  </si>
  <si>
    <t>Kajakház-sportcentrum tömegsportok a kistérségben élők, turisták számára</t>
  </si>
  <si>
    <t>Előkészítés alatt 141/2009./V.27./ sz. és a 283/2009./IX.9./ sz. határozatok alapján benyújtva</t>
  </si>
  <si>
    <t>KDOP-2.2.1/A</t>
  </si>
  <si>
    <t>Helyi turisztikai desztináció Menedzsment szervezet kialakítása</t>
  </si>
  <si>
    <t>141/2009./V.27./ sz. és a 270/2009./VIII.12./ sz. határozatok alapján</t>
  </si>
  <si>
    <t>KDOP-3.1.1/A</t>
  </si>
  <si>
    <t>Értékmegörző és funkcióbővítő városrehabilitáció - Tata, Kossuth tér városközpont rehabilitációja</t>
  </si>
  <si>
    <t>Kiss Zsolt</t>
  </si>
  <si>
    <t>141/2009./V.27./ sz.  és a 282/2009./IX.9./ sz. határozatok , benyújtva</t>
  </si>
  <si>
    <t>KDOP-4.2.3</t>
  </si>
  <si>
    <t>Autóbusz pályaudvar kiváltása Tatán</t>
  </si>
  <si>
    <t>Előkészítés alatt 141/2009./V.27./ sz. és a 374/2009./X.28./ sz. határozatok alapján</t>
  </si>
  <si>
    <t>KDOP-5.2.1/B</t>
  </si>
  <si>
    <t>A tatai kistérségben járóbeteg szakrendelő fejlesztése</t>
  </si>
  <si>
    <t>KDOP-5.2.2./B</t>
  </si>
  <si>
    <t>Piros bölcsőde férőhely fejlesztése</t>
  </si>
  <si>
    <t>Valusek Helga</t>
  </si>
  <si>
    <t>Benyújtva</t>
  </si>
  <si>
    <t>Gyermekszegénység elleni program keretében nyári étkeztetés biztosítása</t>
  </si>
  <si>
    <t>Könyvtári és közművelődési érdekeltségnövelő támogatás</t>
  </si>
  <si>
    <t>Európai Regionális Fejlesztési Alap, Magyarország-Szlovákia Határon Átnyúló Együttműködési Program 2007-2013</t>
  </si>
  <si>
    <t xml:space="preserve"> - Fényes-fürdő karsztforrásokkal kapcsolatos feladatok</t>
  </si>
  <si>
    <t>Kötvény tartalék</t>
  </si>
  <si>
    <t>Működési tartalék</t>
  </si>
  <si>
    <t>Működési célú támogatás</t>
  </si>
  <si>
    <t>Finanszírozás</t>
  </si>
  <si>
    <t>Bevétel csökkentés</t>
  </si>
  <si>
    <t>felhalmozási</t>
  </si>
  <si>
    <t>célra</t>
  </si>
  <si>
    <t>Teljesítés %-a</t>
  </si>
  <si>
    <t>Intézmények Gazdasági Hivatala</t>
  </si>
  <si>
    <t>Mindösszesen:</t>
  </si>
  <si>
    <t xml:space="preserve">3.sz.melléklet    </t>
  </si>
  <si>
    <t>Kiadások</t>
  </si>
  <si>
    <t>Összesen</t>
  </si>
  <si>
    <t>Személyi juttatások</t>
  </si>
  <si>
    <t>Munkaadót terh. járulékok</t>
  </si>
  <si>
    <t>Dologi kiadások</t>
  </si>
  <si>
    <t>Kamatkiadások</t>
  </si>
  <si>
    <t xml:space="preserve"> - működési célra</t>
  </si>
  <si>
    <t xml:space="preserve"> - felhalmozási célra</t>
  </si>
  <si>
    <t>Önk. által folyósított ellátás</t>
  </si>
  <si>
    <t>Ellátottak pénzbeli juttat.</t>
  </si>
  <si>
    <t>Beruházás ( ÁFA-val )</t>
  </si>
  <si>
    <t>Hiteltörlesztés</t>
  </si>
  <si>
    <t>Kiadások összesen:</t>
  </si>
  <si>
    <t>Bevételi előirányzat</t>
  </si>
  <si>
    <t>Kiadási előirányzat</t>
  </si>
  <si>
    <t xml:space="preserve">Működési bevételek </t>
  </si>
  <si>
    <t xml:space="preserve">       - Intézmények</t>
  </si>
  <si>
    <t xml:space="preserve">       - Polgármesteri Hivatal</t>
  </si>
  <si>
    <t>Önkormányzat sajátos működési bevétele</t>
  </si>
  <si>
    <t xml:space="preserve">        -Helyi adók</t>
  </si>
  <si>
    <t xml:space="preserve">        -Átengedett központi adók</t>
  </si>
  <si>
    <t xml:space="preserve">   - átengedett SZJA</t>
  </si>
  <si>
    <t xml:space="preserve">   - SZJA kiegészítés</t>
  </si>
  <si>
    <t xml:space="preserve">   - Gépjárműadó</t>
  </si>
  <si>
    <t xml:space="preserve">         -Földterület bérbeadásából származó szja.</t>
  </si>
  <si>
    <t>Önkorm. és int. működési bevételei összesen</t>
  </si>
  <si>
    <t>Beruházás</t>
  </si>
  <si>
    <t>Földterület értékesítés</t>
  </si>
  <si>
    <t>Hitelkamat</t>
  </si>
  <si>
    <t>Bérbeadásból felhalmozási bevétel</t>
  </si>
  <si>
    <t>Tartalékok</t>
  </si>
  <si>
    <t>Felhalmozási és tőkejellegű bev. összesen</t>
  </si>
  <si>
    <t>Normatív állami hozzájárulás</t>
  </si>
  <si>
    <t>Támogatás központi költségvetésből</t>
  </si>
  <si>
    <t>Előző évi pénzmaradvány</t>
  </si>
  <si>
    <t>Tartalék összesen:</t>
  </si>
  <si>
    <t xml:space="preserve">  1/a. melléklet   </t>
  </si>
  <si>
    <t>Működési bevétel</t>
  </si>
  <si>
    <t>Személyi juttatás</t>
  </si>
  <si>
    <t>Járulékok</t>
  </si>
  <si>
    <t>Pénzeszköz  átadás, támogatás</t>
  </si>
  <si>
    <t>Szociális támogatás műk.</t>
  </si>
  <si>
    <t>Ellátottak pénzbeli juttatása</t>
  </si>
  <si>
    <t>Összesen:</t>
  </si>
  <si>
    <t xml:space="preserve">1/b. melléklet                       </t>
  </si>
  <si>
    <t>Felújítás</t>
  </si>
  <si>
    <t>Fejl. célú pe. átadás</t>
  </si>
  <si>
    <t>Beruházási hitel kamat</t>
  </si>
  <si>
    <t>Kölcsön visszatérülések</t>
  </si>
  <si>
    <t>Megnevezés</t>
  </si>
  <si>
    <t>Kiadás</t>
  </si>
  <si>
    <t>Működési kiadások</t>
  </si>
  <si>
    <t>Parkfenntartási feladatok</t>
  </si>
  <si>
    <t>Helyi közutak létesítése</t>
  </si>
  <si>
    <t>Üdültetés</t>
  </si>
  <si>
    <t>Közutak, hidak üzemeltetése</t>
  </si>
  <si>
    <t>Lakásgazdálkodás</t>
  </si>
  <si>
    <t>Közhasznú foglalkoztatás</t>
  </si>
  <si>
    <t>Polgári védelem</t>
  </si>
  <si>
    <t>Vízkárelhárítás</t>
  </si>
  <si>
    <t>Sorszám</t>
  </si>
  <si>
    <t>Módosított</t>
  </si>
  <si>
    <t>előirányzat</t>
  </si>
  <si>
    <t>Egyéb folyó kiadások</t>
  </si>
  <si>
    <t>Egyéb dologi kiadások</t>
  </si>
  <si>
    <t>Dologi kiadások és egyéb folyó kiadások (3+4)</t>
  </si>
  <si>
    <t>Működési célú pénzeszközátadás államháztartáson belül</t>
  </si>
  <si>
    <t>Működési célú pénzeszközátadás államháztartáson kívül</t>
  </si>
  <si>
    <t>Végleges pénzeszközátadás, egyéb támogatás (6+7)</t>
  </si>
  <si>
    <t>Működési költségvetés kiadásai (1+2+5+8)</t>
  </si>
  <si>
    <t>Költségvetési aktív pénzügyi elszámolások</t>
  </si>
  <si>
    <t>Beruházási kiadások</t>
  </si>
  <si>
    <t>Helyi kisebbségi önkormányzatok kiadásai összesen (9+10+11)</t>
  </si>
  <si>
    <t>Egyéb állami támogatás, hozzájárulás</t>
  </si>
  <si>
    <t>Egyéb támogatások, kiegészítések és átvett pénzeszközök</t>
  </si>
  <si>
    <t xml:space="preserve">Tárgyévi függő bevétel, függő kiegyenlítő, átfutó bevétel </t>
  </si>
  <si>
    <t xml:space="preserve">Helyi kisebbségi önkormányzatok bevételei összesen </t>
  </si>
  <si>
    <t>Bevétel összesen</t>
  </si>
  <si>
    <t>Kiadás összesen</t>
  </si>
  <si>
    <t>Kiegyenlítő, függő, átfutó kiadás</t>
  </si>
  <si>
    <t>Kiegyenlítő, függő, átfutó bevétel</t>
  </si>
  <si>
    <t>Tárgyévi függő bevétel, függő kiegyenlítő, átfutó bevétel</t>
  </si>
  <si>
    <t>Támogatás értékű működési kiadás</t>
  </si>
  <si>
    <t>Összesítő</t>
  </si>
  <si>
    <t>(-) előjelű pénzmaradvány figyelmen kívül hagyása</t>
  </si>
  <si>
    <t>Több éves kihatással járó feladatok</t>
  </si>
  <si>
    <t>Hitelek</t>
  </si>
  <si>
    <t>Szerződő bank, illetve egyéb int.</t>
  </si>
  <si>
    <t>Hitelfelvétel</t>
  </si>
  <si>
    <t>Lejárat éve</t>
  </si>
  <si>
    <t>éve</t>
  </si>
  <si>
    <t>összege</t>
  </si>
  <si>
    <t>MTB. Zrt.</t>
  </si>
  <si>
    <t>Tata Tóvárosi Víziközmű Társulat (megszűnt)</t>
  </si>
  <si>
    <t xml:space="preserve">Fürdő U. Óvoda - vizesblokk felújítás </t>
  </si>
  <si>
    <t xml:space="preserve">Kőkúti - Fazekas U. Tagintézmény - 6 db tanterem armatúra cseréje </t>
  </si>
  <si>
    <t xml:space="preserve">Szociális Alapellátó intézmény - Almási úti épület fűtéskorszerűsítés </t>
  </si>
  <si>
    <t>IGH - irattár kialakítás</t>
  </si>
  <si>
    <t xml:space="preserve"> - A távhőszolgáltatás koncesszióba adásával kapcsolatos koncesszióba adandó nagy értékű tárgyi eszközök megvásárlása</t>
  </si>
  <si>
    <t xml:space="preserve"> - Tópart sétány közvilágítása ( áthúzódó szerződés alapján)</t>
  </si>
  <si>
    <t xml:space="preserve"> - Tópart sétány közvilágítás tervezés ( Grill - Pötörke malom)</t>
  </si>
  <si>
    <t xml:space="preserve"> - Fényes fürdőn felépítmény vásárlás</t>
  </si>
  <si>
    <t xml:space="preserve"> - Agostyán, Kert u. kialakítás kisajátítási eljárással</t>
  </si>
  <si>
    <t xml:space="preserve"> - Tata, Újhegy közút céljára kisajátítás</t>
  </si>
  <si>
    <t xml:space="preserve"> - Akácfa u. útszelvény kialakításhoz kártalanítás</t>
  </si>
  <si>
    <t xml:space="preserve"> - Május 1. út körforgalmi direktág kialakításhoz területrendezés</t>
  </si>
  <si>
    <t xml:space="preserve"> -- számítástechnikai fejlesztés (hardver, szoftver)</t>
  </si>
  <si>
    <t xml:space="preserve"> -- ÁROP pályázat, szervezetfejlesztés</t>
  </si>
  <si>
    <t xml:space="preserve"> - Polgármesteri Hivatal: </t>
  </si>
  <si>
    <t xml:space="preserve"> - Balatonvilágosi üdülőben 2 db fürdőszoba korszerűsítés</t>
  </si>
  <si>
    <t xml:space="preserve"> - Bartók Béla u. Óvoda bővítés (pályázati önerő)</t>
  </si>
  <si>
    <t xml:space="preserve"> - Új könyvtár kialakításának tervezése</t>
  </si>
  <si>
    <t xml:space="preserve"> - Kőfaragó ház projekt tervezési dokumentumai</t>
  </si>
  <si>
    <t xml:space="preserve"> - Idősek Klubja (Kocsi u.) telephely áthelyezés</t>
  </si>
  <si>
    <t xml:space="preserve"> - Közterület-felügyelet tárgyi eszköz beszerzés</t>
  </si>
  <si>
    <t>2009. évi pénzmaradvány:</t>
  </si>
  <si>
    <t xml:space="preserve">Nyitó pénzkészlet 2009.01.01. </t>
  </si>
  <si>
    <t>Záró pénzkészlet 2009.12.31.</t>
  </si>
  <si>
    <t>2009. évi pénzmaradvány összesen:</t>
  </si>
  <si>
    <t>2009. évi</t>
  </si>
  <si>
    <t xml:space="preserve"> - Kálvária utcai Óvoda udvari játékok beszerzése</t>
  </si>
  <si>
    <t xml:space="preserve"> - Kőkúti Általános Iskola Fazekas u. tagintézmény - kazáncsere</t>
  </si>
  <si>
    <t xml:space="preserve"> - Irinyi út burkolatfelújítás</t>
  </si>
  <si>
    <t xml:space="preserve"> - Bacsó Béla lakótelep - Zrínyi u. - Temesvári u. tulajdonjog-rendezés </t>
  </si>
  <si>
    <t xml:space="preserve"> - Tatai TV. Közalapítvány támogatására</t>
  </si>
  <si>
    <t>Ezen belül:</t>
  </si>
  <si>
    <t xml:space="preserve"> -- Építményadó</t>
  </si>
  <si>
    <t xml:space="preserve"> -- Telekadó</t>
  </si>
  <si>
    <t xml:space="preserve"> -- Idegenforgalmi adó</t>
  </si>
  <si>
    <t xml:space="preserve"> -- Iparűzési adó</t>
  </si>
  <si>
    <t xml:space="preserve"> -- Egyéb beszed. Szla (pénzbírság, helyszíni bírság)</t>
  </si>
  <si>
    <t xml:space="preserve"> - Polgárdi Önkormányzat komplex hulladékgazd. Rendszer (100 Ft/fő)</t>
  </si>
  <si>
    <t xml:space="preserve"> - Tatai Városgazda Kht. bér- és működési támogatás</t>
  </si>
  <si>
    <t>Mozgáskorlátozottak közlekedési támogatása</t>
  </si>
  <si>
    <t>Kistérségi Többcélú Társulástól társulási felad.</t>
  </si>
  <si>
    <t xml:space="preserve"> - helyi adók és egyéb bevételek</t>
  </si>
  <si>
    <t>Egyéb víziközmű befizetések (lakossági)</t>
  </si>
  <si>
    <t xml:space="preserve">Tata Város Polgármesteri Hivatal </t>
  </si>
  <si>
    <t>Támogatás értékű működési bevételek</t>
  </si>
  <si>
    <t>Támogatás értékű felhalmozási célú bevételek</t>
  </si>
  <si>
    <t xml:space="preserve"> -- Tatai Aréna SE Autós Szakosztály</t>
  </si>
  <si>
    <t>Felhalmozási célra átvett pénzeszköz államháztartáson kívülről</t>
  </si>
  <si>
    <t>Lehívható központi támogatás</t>
  </si>
  <si>
    <t>Tartósan munkanélküliek rendszeres szociális segélye</t>
  </si>
  <si>
    <t>Rendszeres szociális segély</t>
  </si>
  <si>
    <t>Lakásfenntartási támogatás (normatív)</t>
  </si>
  <si>
    <t>Lakásfenntartási támogatás (helyi megállapítás)</t>
  </si>
  <si>
    <t>Ápolási díj (normatív)</t>
  </si>
  <si>
    <t>Ápolási díj (helyi megállapítás)</t>
  </si>
  <si>
    <t xml:space="preserve">A Vaszary János Általános Iskola és Logopédiai Intézet esetében 7.650 E Ft-tal, míg a Menner Bernát Zeneiskola estében 1.500 E Ft-tal csökkenti az önkormányzati támogatást a Tardos Község </t>
  </si>
  <si>
    <t>Önkormányzatától átvett pénzeszköz.</t>
  </si>
  <si>
    <t>Támogatott F/000314/09, Szoc. Alapellátónak</t>
  </si>
  <si>
    <t>2009. évi egyszerűsített éves pénzforgalmi jelentése (E Ft-ban)</t>
  </si>
  <si>
    <t>2009. évi egyszerűsített mérlege</t>
  </si>
  <si>
    <t>Tájékoztatás a Tata Város Önkormányzata által benyújtott Európai Uniós páláyzatokról (E Ft-ban)</t>
  </si>
  <si>
    <t>Pályázat megnevezése, azonosítója</t>
  </si>
  <si>
    <t>Projekt teljes összköltsége</t>
  </si>
  <si>
    <t>A projekt elszámolható költsége</t>
  </si>
  <si>
    <t>Igénylet támogatás</t>
  </si>
  <si>
    <t>Elnyert támogatás</t>
  </si>
  <si>
    <t>2009. év folyamán befolyt támogatás</t>
  </si>
  <si>
    <t>2009-ben kifizetve</t>
  </si>
  <si>
    <t>A projekt jelenlegi állása, megjegyzés</t>
  </si>
  <si>
    <t>Tatai Polgármesteri Hivatal Szervezetfejlesztése ÁROP-1.A.2./A-2008-0087</t>
  </si>
  <si>
    <t>A megvalósítás terv szerint zajlik</t>
  </si>
  <si>
    <t>Bartók Béla úti Óvoda bővítése a költséghatékony, személyiség központú ellátás érdekében KDOP -2007-5.1.1/2F-2f-2009-0031</t>
  </si>
  <si>
    <t>A megvalósítási szakasz 2010-ben indul</t>
  </si>
  <si>
    <t xml:space="preserve">Komplex energiaracionalizálás Tata általános iskoláiban és óvodáiban, KEOP -5.1.0-2008-0037 </t>
  </si>
  <si>
    <t>Tatai Angolpark rehabilitációja, KDOP -2.1.1/B-2f-2009-0002</t>
  </si>
  <si>
    <t>Folyik a kiviteli tervezés, ezt követően kerülhet sor a megvalósításra</t>
  </si>
  <si>
    <t>Tata, Kocsi úti (8136. számú országos közút) és Dózsa György utcai kerékpárút építése, KDOP – 2009-4.2.2-2009-0003</t>
  </si>
  <si>
    <t>Támogatási szerződés előkészítés alatt</t>
  </si>
  <si>
    <t>Tatai Fáklya és Diófa belterületi utcák felújítása, KDOP -4.2.1./B./09-2009-0006</t>
  </si>
  <si>
    <t>A csökkentett támogatási összeg és műszaki tartalom egyeztetése miatt a szerződés aláírásának határideje meghosszabbítva</t>
  </si>
  <si>
    <t xml:space="preserve">   Normatív állami hozzájárulás és a normatív részesedésű átengedett SZJA jogcímei és összegei </t>
  </si>
  <si>
    <t>Jogcímek megnevezése</t>
  </si>
  <si>
    <t>2009. évi tervezett</t>
  </si>
  <si>
    <t>2009. évi tényleges</t>
  </si>
  <si>
    <t>Különbözet tényleges-tervezett</t>
  </si>
  <si>
    <t>Normatív támogatások</t>
  </si>
  <si>
    <t>Települési igazgatási és komunális feladatok</t>
  </si>
  <si>
    <t>Lakott külterülettel kapcsolatos feladatok</t>
  </si>
  <si>
    <t>Körzeti igazgatási feladatok</t>
  </si>
  <si>
    <t>Üdülőhelyi feladatok</t>
  </si>
  <si>
    <t>Pénzbeli szociális juttatások</t>
  </si>
  <si>
    <t>Szoc. és gyermekjóléti alapsz. ált. fel.</t>
  </si>
  <si>
    <t>Tömegközlekedési feladatok</t>
  </si>
  <si>
    <t>Települési sportfeladatok</t>
  </si>
  <si>
    <t>Helyi közművelődési és közgyűjteményi feladatok</t>
  </si>
  <si>
    <t>Nyugdíminimum 150%-át meg nem haladó jövedelem esetén (étkeztetés)</t>
  </si>
  <si>
    <t>Nyugdíminimum 150%-a és 300%-a közötti jövedelem esetén (étkeztetés)</t>
  </si>
  <si>
    <t xml:space="preserve"> Nyugdíjminimum 300%-át meghaladó jövedelem esetén (étkeztetés)</t>
  </si>
  <si>
    <t>Házi segítségnyújtás a nyugdíjminimum 150%-át meghaladó jövedelem esetén</t>
  </si>
  <si>
    <t>Házi segítségnyújtás a nyugdíjminimum 150%-át meg nem haladó jöv. esetén</t>
  </si>
  <si>
    <t>Jelzőrendszeres házi segítségnyújtás</t>
  </si>
  <si>
    <t>Időskorúak nappali ellátása</t>
  </si>
  <si>
    <t>Fogyatékos személyek nappali int. Ell.</t>
  </si>
  <si>
    <t>Hajléktalanok nappali intézményi ellátása</t>
  </si>
  <si>
    <t>Hajléktalanok átmeneti intézményei</t>
  </si>
  <si>
    <t>Bölcsödei ellátás</t>
  </si>
  <si>
    <t>Ingyenes bölcsödei étkeztetés</t>
  </si>
  <si>
    <t xml:space="preserve">Tata Város Polgármesteri Hivatalának komplex akadálymentesítése (Egyenlő esélyű hozzáférés a közszolgáltatáshoz), KDOP -5.3.2-09-2009-0014 </t>
  </si>
  <si>
    <t>Elutasítva, jogi panasszal éltünk</t>
  </si>
  <si>
    <t xml:space="preserve">Csapadékvíz-elvezető hálózati rendszer megvalósítása Tatán a József Attila utcában, KDOP - 2009.4.1.1.E/09-2009-0012 </t>
  </si>
  <si>
    <t>Elutasítva, fellebbeztünk</t>
  </si>
  <si>
    <t>„Gondoskodó kistérség”, Szociális alapszolgáltatások minőségi fejlesztése a tatai kistérségben, KDOP –5.2.2/A-09-2009-0006</t>
  </si>
  <si>
    <t>Benyújtva, hiánypótolva</t>
  </si>
  <si>
    <t>Tatai, Új úti Bölcsőde kapacitás bővítse, minőségi fejlesztése, KDOP – 5.2.2/B-09-2009-0004</t>
  </si>
  <si>
    <t xml:space="preserve">Tata Kossuth tér városközpont értékmegőrző rehabilitációja, KDOP -2009-3.1.1/A </t>
  </si>
  <si>
    <t xml:space="preserve">Ökoturisztikai központ kialakítása Tatán, az Öreg-tó partján, KDOP – 2009-2.1.1/B </t>
  </si>
  <si>
    <t>Iskolai informatikai fejlesztés, TIOP 1.1.1.07/1</t>
  </si>
  <si>
    <t>150 db számítógép, 3 db szerver, 34 db tantermi csomag, 7 db SNI csomag, Központi közbeszerési eljárás során választják ki a szállítót, a támogatás a tárgyi eszközök értékének megfelelő lesz</t>
  </si>
  <si>
    <t>Kompetencia alapú programcsomagok tesztelése, TIOK</t>
  </si>
  <si>
    <t>A Vaszary János Általános Iskolában valósult meg, az Intézmények Gazdasági Hivatalának projektje</t>
  </si>
  <si>
    <t>A Kőkúti Általános Iskolában valósult meg, az Intézmények Gazdasági Hivatalának projektje</t>
  </si>
  <si>
    <t>2009-ben kifizetett összeg</t>
  </si>
  <si>
    <t>Hajdu u. 1. ingatlan vásárlása</t>
  </si>
  <si>
    <t>Latinka (Nyár) u. burkolat építés</t>
  </si>
  <si>
    <t>Tópart sétány közvilágítás korszerűsítés</t>
  </si>
  <si>
    <t>Veres P. u. burkolat felújítás TEUT támogatással</t>
  </si>
  <si>
    <t>Öveges u. burkolat felújítása TEUT támogatással</t>
  </si>
  <si>
    <t>Kocsi u. burkolat felújítása TEUT támogatással</t>
  </si>
  <si>
    <t>Magyary Zoltán Művelődési ház felújítása</t>
  </si>
  <si>
    <t>Polgármesteri Hivatal akadálymentesítése</t>
  </si>
  <si>
    <t>Rákóczi u. felújítása TEUT támogatással</t>
  </si>
  <si>
    <t>Bartók B. u.-i Óvoda bővítése</t>
  </si>
  <si>
    <t>Intézmények energiaracionalizálása KEOP projekt</t>
  </si>
  <si>
    <t>Angol park rehabilitációja</t>
  </si>
  <si>
    <t xml:space="preserve">Kocsi u. - Dózsa Gy. u. kerékpárút </t>
  </si>
  <si>
    <t>Fáklya u. - Diófa u. korszerűsítése</t>
  </si>
  <si>
    <t>József A. u. vízrendezése</t>
  </si>
  <si>
    <t>Kossuth tér rehabilitációja</t>
  </si>
  <si>
    <t>Kajakház, Öreg-tavi kerékpárút</t>
  </si>
  <si>
    <t>Új u.-i Bölcsöde férőhely fejlesztés</t>
  </si>
  <si>
    <t>Gondoskodó kistérség, szociális alapellátások fejlesztése projekt</t>
  </si>
  <si>
    <t>Polgármesteri Hivatal szervezetfejlesztése (ÁROP pályázat)</t>
  </si>
  <si>
    <t>Jázmin u. 22-24. ingatlanok vásárlása</t>
  </si>
  <si>
    <t>B.) Több éves kihatással járó beruházási és felújítási feladatok (E Ft)</t>
  </si>
  <si>
    <t>-</t>
  </si>
  <si>
    <t>Polgármesteri Hivatala</t>
  </si>
  <si>
    <t>1.</t>
  </si>
  <si>
    <t>2.</t>
  </si>
  <si>
    <t>Pénztárak és betétkönyvek záróegyenlegei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</si>
  <si>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</si>
  <si>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</si>
  <si>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</si>
  <si>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</si>
  <si>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</si>
  <si>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</si>
  <si>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</si>
  <si>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</si>
  <si>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</si>
  <si>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</si>
  <si>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</si>
  <si>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</si>
  <si>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Intézményi költségvetési befizetés többlettámogatás miatt</t>
  </si>
  <si>
    <t>15.</t>
  </si>
  <si>
    <t>16.</t>
  </si>
  <si>
    <t>17.</t>
  </si>
  <si>
    <t>Költségvetési kiutalás kiutalatlan támogatás miatt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</si>
  <si>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</si>
  <si>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</si>
  <si>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</si>
  <si>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</si>
  <si>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</si>
  <si>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</si>
  <si>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</si>
  <si>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</si>
  <si>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</si>
  <si>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 xml:space="preserve">Tárgyévi helyesbített pénzmaradv. </t>
  </si>
  <si>
    <t>Korrekció</t>
  </si>
  <si>
    <t>Felhasz. pénzm.</t>
  </si>
  <si>
    <t>2009.évi</t>
  </si>
  <si>
    <t>Kötelezettségvállalással terhelt pénzmaradvány</t>
  </si>
  <si>
    <t>költségvetésben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</si>
</sst>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.0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0"/>
    <numFmt numFmtId="171" formatCode="yyyy/\ m/\ d\."/>
    <numFmt numFmtId="172" formatCode="#,##0.0"/>
    <numFmt numFmtId="173" formatCode="0&quot;.folyósítás&quot;"/>
    <numFmt numFmtId="174" formatCode="#,##0.000"/>
    <numFmt numFmtId="175" formatCode="#,##0,"/>
    <numFmt numFmtId="176" formatCode="#,##0;[Red]\-#,##0"/>
  </numFmts>
  <fonts count="65">
    <font>
      <sz val="10"/>
      <name val="Arial CE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Times New Roman"/>
      <family val="1"/>
    </font>
    <font>
      <sz val="10"/>
      <name val="MS Sans Serif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Arial CE"/>
      <family val="0"/>
    </font>
    <font>
      <b/>
      <i/>
      <sz val="11"/>
      <name val="Times New Roman CE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10"/>
      <name val="Times New Roman CE"/>
      <family val="1"/>
    </font>
    <font>
      <b/>
      <sz val="12"/>
      <name val="Times New Roman"/>
      <family val="1"/>
    </font>
    <font>
      <b/>
      <i/>
      <sz val="10"/>
      <name val="Times New Roman CE"/>
      <family val="1"/>
    </font>
    <font>
      <b/>
      <i/>
      <sz val="10"/>
      <name val="Arial CE"/>
      <family val="0"/>
    </font>
    <font>
      <b/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u val="single"/>
      <sz val="10"/>
      <name val="Times New Roman"/>
      <family val="1"/>
    </font>
    <font>
      <sz val="7"/>
      <color indexed="10"/>
      <name val="Times New Roman"/>
      <family val="1"/>
    </font>
    <font>
      <sz val="7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7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name val="Arial CE"/>
      <family val="2"/>
    </font>
    <font>
      <b/>
      <u val="single"/>
      <sz val="12"/>
      <name val="Times New Roman"/>
      <family val="1"/>
    </font>
    <font>
      <sz val="12"/>
      <name val="Arial CE"/>
      <family val="0"/>
    </font>
    <font>
      <b/>
      <sz val="12"/>
      <name val="Arial CE"/>
      <family val="0"/>
    </font>
    <font>
      <b/>
      <i/>
      <sz val="12"/>
      <name val="Times New Roman CE"/>
      <family val="1"/>
    </font>
    <font>
      <u val="single"/>
      <sz val="10"/>
      <name val="Times New Roman CE"/>
      <family val="1"/>
    </font>
    <font>
      <b/>
      <i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16"/>
      <name val="Arial CE"/>
      <family val="0"/>
    </font>
    <font>
      <b/>
      <sz val="16"/>
      <name val="Times New Roman CE"/>
      <family val="1"/>
    </font>
    <font>
      <sz val="10"/>
      <name val="Arial"/>
      <family val="0"/>
    </font>
    <font>
      <b/>
      <sz val="7"/>
      <name val="Times New Roman"/>
      <family val="1"/>
    </font>
    <font>
      <sz val="8"/>
      <name val="Arial CE"/>
      <family val="0"/>
    </font>
    <font>
      <sz val="9"/>
      <name val="Arial CE"/>
      <family val="0"/>
    </font>
    <font>
      <i/>
      <sz val="9"/>
      <name val="Times New Roman CE"/>
      <family val="0"/>
    </font>
    <font>
      <b/>
      <sz val="10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8">
    <border>
      <left/>
      <right/>
      <top/>
      <bottom/>
      <diagonal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/>
      <top style="double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 style="medium"/>
      <top style="hair"/>
      <bottom>
        <color indexed="63"/>
      </bottom>
    </border>
    <border>
      <left style="thick"/>
      <right style="medium"/>
      <top style="medium"/>
      <bottom style="thick"/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double"/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double">
        <color indexed="8"/>
      </right>
      <top style="thin"/>
      <bottom style="double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medium"/>
      <top style="thick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0" xfId="21" applyFont="1" applyAlignment="1">
      <alignment horizontal="left"/>
      <protection/>
    </xf>
    <xf numFmtId="0" fontId="3" fillId="0" borderId="0" xfId="21" applyFont="1" applyAlignment="1" quotePrefix="1">
      <alignment horizontal="left"/>
      <protection/>
    </xf>
    <xf numFmtId="0" fontId="3" fillId="0" borderId="0" xfId="21" applyFont="1" applyAlignment="1">
      <alignment/>
      <protection/>
    </xf>
    <xf numFmtId="0" fontId="3" fillId="0" borderId="0" xfId="21" applyFont="1">
      <alignment/>
      <protection/>
    </xf>
    <xf numFmtId="3" fontId="3" fillId="0" borderId="0" xfId="21" applyNumberFormat="1" applyFont="1">
      <alignment/>
      <protection/>
    </xf>
    <xf numFmtId="3" fontId="3" fillId="0" borderId="0" xfId="21" applyNumberFormat="1" applyFont="1" applyAlignment="1">
      <alignment horizontal="right"/>
      <protection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21" applyFont="1">
      <alignment/>
      <protection/>
    </xf>
    <xf numFmtId="0" fontId="3" fillId="0" borderId="0" xfId="21" applyFont="1" applyBorder="1">
      <alignment/>
      <protection/>
    </xf>
    <xf numFmtId="0" fontId="3" fillId="0" borderId="8" xfId="21" applyFont="1" applyBorder="1">
      <alignment/>
      <protection/>
    </xf>
    <xf numFmtId="3" fontId="4" fillId="0" borderId="0" xfId="21" applyNumberFormat="1" applyFont="1" applyBorder="1">
      <alignment/>
      <protection/>
    </xf>
    <xf numFmtId="0" fontId="2" fillId="0" borderId="0" xfId="0" applyFont="1" applyAlignment="1">
      <alignment/>
    </xf>
    <xf numFmtId="0" fontId="9" fillId="0" borderId="0" xfId="20" applyFont="1" applyAlignment="1">
      <alignment/>
      <protection/>
    </xf>
    <xf numFmtId="0" fontId="9" fillId="0" borderId="0" xfId="20" applyFont="1">
      <alignment/>
      <protection/>
    </xf>
    <xf numFmtId="0" fontId="9" fillId="0" borderId="0" xfId="20" applyFont="1" applyAlignment="1">
      <alignment horizontal="center"/>
      <protection/>
    </xf>
    <xf numFmtId="3" fontId="9" fillId="0" borderId="0" xfId="20" applyNumberFormat="1" applyFont="1">
      <alignment/>
      <protection/>
    </xf>
    <xf numFmtId="0" fontId="9" fillId="0" borderId="0" xfId="20" applyFont="1" applyAlignment="1">
      <alignment horizontal="right"/>
      <protection/>
    </xf>
    <xf numFmtId="0" fontId="9" fillId="0" borderId="0" xfId="20" applyFont="1" applyAlignment="1">
      <alignment horizontal="centerContinuous"/>
      <protection/>
    </xf>
    <xf numFmtId="3" fontId="14" fillId="0" borderId="0" xfId="20" applyNumberFormat="1" applyFont="1" applyAlignment="1">
      <alignment horizontal="right"/>
      <protection/>
    </xf>
    <xf numFmtId="0" fontId="16" fillId="0" borderId="0" xfId="20" applyFont="1">
      <alignment/>
      <protection/>
    </xf>
    <xf numFmtId="0" fontId="16" fillId="0" borderId="0" xfId="20" applyFont="1" applyBorder="1">
      <alignment/>
      <protection/>
    </xf>
    <xf numFmtId="0" fontId="1" fillId="0" borderId="0" xfId="20" applyFont="1">
      <alignment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3" fontId="4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0" borderId="12" xfId="0" applyNumberFormat="1" applyFont="1" applyBorder="1" applyAlignment="1">
      <alignment wrapText="1"/>
    </xf>
    <xf numFmtId="0" fontId="4" fillId="0" borderId="13" xfId="0" applyFont="1" applyBorder="1" applyAlignment="1">
      <alignment/>
    </xf>
    <xf numFmtId="0" fontId="18" fillId="0" borderId="0" xfId="21" applyFont="1" applyAlignment="1" quotePrefix="1">
      <alignment horizont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9" fillId="0" borderId="0" xfId="21" applyFont="1" applyAlignment="1">
      <alignment horizontal="left"/>
      <protection/>
    </xf>
    <xf numFmtId="0" fontId="19" fillId="0" borderId="0" xfId="21" applyFont="1" applyAlignment="1" quotePrefix="1">
      <alignment horizontal="left"/>
      <protection/>
    </xf>
    <xf numFmtId="0" fontId="19" fillId="0" borderId="0" xfId="21" applyFont="1" applyAlignment="1">
      <alignment/>
      <protection/>
    </xf>
    <xf numFmtId="0" fontId="18" fillId="0" borderId="0" xfId="0" applyFont="1" applyAlignment="1">
      <alignment horizontal="center"/>
    </xf>
    <xf numFmtId="3" fontId="4" fillId="0" borderId="12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37" fontId="4" fillId="0" borderId="12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3" fontId="4" fillId="0" borderId="15" xfId="0" applyNumberFormat="1" applyFont="1" applyBorder="1" applyAlignment="1">
      <alignment wrapText="1"/>
    </xf>
    <xf numFmtId="37" fontId="4" fillId="0" borderId="16" xfId="0" applyNumberFormat="1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4" fillId="0" borderId="17" xfId="20" applyFont="1" applyBorder="1" applyAlignment="1">
      <alignment horizontal="left"/>
      <protection/>
    </xf>
    <xf numFmtId="0" fontId="14" fillId="0" borderId="18" xfId="20" applyFont="1" applyBorder="1" applyAlignment="1">
      <alignment horizontal="centerContinuous"/>
      <protection/>
    </xf>
    <xf numFmtId="0" fontId="14" fillId="0" borderId="19" xfId="20" applyFont="1" applyBorder="1" applyAlignment="1">
      <alignment horizontal="centerContinuous"/>
      <protection/>
    </xf>
    <xf numFmtId="0" fontId="9" fillId="0" borderId="19" xfId="20" applyFont="1" applyBorder="1" applyAlignment="1">
      <alignment horizontal="centerContinuous"/>
      <protection/>
    </xf>
    <xf numFmtId="0" fontId="9" fillId="0" borderId="20" xfId="20" applyFont="1" applyBorder="1">
      <alignment/>
      <protection/>
    </xf>
    <xf numFmtId="0" fontId="9" fillId="0" borderId="12" xfId="20" applyFont="1" applyBorder="1">
      <alignment/>
      <protection/>
    </xf>
    <xf numFmtId="3" fontId="9" fillId="0" borderId="12" xfId="20" applyNumberFormat="1" applyFont="1" applyBorder="1">
      <alignment/>
      <protection/>
    </xf>
    <xf numFmtId="3" fontId="9" fillId="0" borderId="3" xfId="20" applyNumberFormat="1" applyFont="1" applyBorder="1">
      <alignment/>
      <protection/>
    </xf>
    <xf numFmtId="3" fontId="9" fillId="0" borderId="21" xfId="20" applyNumberFormat="1" applyFont="1" applyBorder="1">
      <alignment/>
      <protection/>
    </xf>
    <xf numFmtId="3" fontId="9" fillId="0" borderId="20" xfId="20" applyNumberFormat="1" applyFont="1" applyBorder="1">
      <alignment/>
      <protection/>
    </xf>
    <xf numFmtId="3" fontId="9" fillId="0" borderId="22" xfId="20" applyNumberFormat="1" applyFont="1" applyBorder="1">
      <alignment/>
      <protection/>
    </xf>
    <xf numFmtId="49" fontId="9" fillId="0" borderId="13" xfId="20" applyNumberFormat="1" applyFont="1" applyBorder="1" applyAlignment="1">
      <alignment horizontal="center"/>
      <protection/>
    </xf>
    <xf numFmtId="3" fontId="9" fillId="0" borderId="11" xfId="20" applyNumberFormat="1" applyFont="1" applyBorder="1">
      <alignment/>
      <protection/>
    </xf>
    <xf numFmtId="49" fontId="9" fillId="0" borderId="1" xfId="20" applyNumberFormat="1" applyFont="1" applyBorder="1" applyAlignment="1">
      <alignment horizontal="right"/>
      <protection/>
    </xf>
    <xf numFmtId="3" fontId="9" fillId="0" borderId="23" xfId="20" applyNumberFormat="1" applyFont="1" applyBorder="1">
      <alignment/>
      <protection/>
    </xf>
    <xf numFmtId="49" fontId="9" fillId="0" borderId="1" xfId="20" applyNumberFormat="1" applyFont="1" applyBorder="1" applyAlignment="1">
      <alignment horizontal="center"/>
      <protection/>
    </xf>
    <xf numFmtId="3" fontId="14" fillId="0" borderId="21" xfId="20" applyNumberFormat="1" applyFont="1" applyBorder="1">
      <alignment/>
      <protection/>
    </xf>
    <xf numFmtId="3" fontId="9" fillId="0" borderId="24" xfId="20" applyNumberFormat="1" applyFont="1" applyBorder="1">
      <alignment/>
      <protection/>
    </xf>
    <xf numFmtId="3" fontId="9" fillId="0" borderId="25" xfId="20" applyNumberFormat="1" applyFont="1" applyBorder="1">
      <alignment/>
      <protection/>
    </xf>
    <xf numFmtId="3" fontId="9" fillId="0" borderId="21" xfId="20" applyNumberFormat="1" applyFont="1" applyBorder="1" applyAlignment="1">
      <alignment horizontal="right"/>
      <protection/>
    </xf>
    <xf numFmtId="3" fontId="9" fillId="0" borderId="24" xfId="20" applyNumberFormat="1" applyFont="1" applyBorder="1" applyAlignment="1">
      <alignment horizontal="right"/>
      <protection/>
    </xf>
    <xf numFmtId="3" fontId="9" fillId="0" borderId="25" xfId="20" applyNumberFormat="1" applyFont="1" applyBorder="1" applyAlignment="1">
      <alignment horizontal="right"/>
      <protection/>
    </xf>
    <xf numFmtId="3" fontId="9" fillId="0" borderId="12" xfId="20" applyNumberFormat="1" applyFont="1" applyBorder="1" applyAlignment="1">
      <alignment horizontal="right"/>
      <protection/>
    </xf>
    <xf numFmtId="3" fontId="9" fillId="0" borderId="23" xfId="20" applyNumberFormat="1" applyFont="1" applyBorder="1" applyAlignment="1">
      <alignment horizontal="right"/>
      <protection/>
    </xf>
    <xf numFmtId="3" fontId="9" fillId="0" borderId="13" xfId="20" applyNumberFormat="1" applyFont="1" applyBorder="1" applyAlignment="1">
      <alignment horizontal="center"/>
      <protection/>
    </xf>
    <xf numFmtId="3" fontId="14" fillId="0" borderId="24" xfId="20" applyNumberFormat="1" applyFont="1" applyBorder="1" applyAlignment="1">
      <alignment horizontal="center"/>
      <protection/>
    </xf>
    <xf numFmtId="3" fontId="9" fillId="0" borderId="24" xfId="20" applyNumberFormat="1" applyFont="1" applyBorder="1" applyAlignment="1">
      <alignment horizontal="centerContinuous"/>
      <protection/>
    </xf>
    <xf numFmtId="0" fontId="9" fillId="0" borderId="3" xfId="20" applyFont="1" applyBorder="1">
      <alignment/>
      <protection/>
    </xf>
    <xf numFmtId="3" fontId="9" fillId="0" borderId="1" xfId="0" applyNumberFormat="1" applyFont="1" applyBorder="1" applyAlignment="1">
      <alignment horizontal="center" vertical="center"/>
    </xf>
    <xf numFmtId="0" fontId="14" fillId="0" borderId="21" xfId="20" applyFont="1" applyBorder="1" applyAlignment="1">
      <alignment horizontal="center"/>
      <protection/>
    </xf>
    <xf numFmtId="0" fontId="9" fillId="0" borderId="21" xfId="20" applyFont="1" applyBorder="1">
      <alignment/>
      <protection/>
    </xf>
    <xf numFmtId="49" fontId="9" fillId="0" borderId="17" xfId="20" applyNumberFormat="1" applyFont="1" applyBorder="1" applyAlignment="1">
      <alignment horizontal="center"/>
      <protection/>
    </xf>
    <xf numFmtId="3" fontId="9" fillId="0" borderId="1" xfId="20" applyNumberFormat="1" applyFont="1" applyBorder="1" applyAlignment="1">
      <alignment horizontal="center"/>
      <protection/>
    </xf>
    <xf numFmtId="3" fontId="14" fillId="0" borderId="12" xfId="20" applyNumberFormat="1" applyFont="1" applyBorder="1">
      <alignment/>
      <protection/>
    </xf>
    <xf numFmtId="3" fontId="14" fillId="0" borderId="23" xfId="20" applyNumberFormat="1" applyFont="1" applyBorder="1">
      <alignment/>
      <protection/>
    </xf>
    <xf numFmtId="0" fontId="14" fillId="0" borderId="25" xfId="0" applyFont="1" applyBorder="1" applyAlignment="1">
      <alignment horizontal="left"/>
    </xf>
    <xf numFmtId="3" fontId="14" fillId="0" borderId="0" xfId="20" applyNumberFormat="1" applyFont="1" applyBorder="1">
      <alignment/>
      <protection/>
    </xf>
    <xf numFmtId="3" fontId="9" fillId="0" borderId="12" xfId="20" applyNumberFormat="1" applyFont="1" applyBorder="1">
      <alignment/>
      <protection/>
    </xf>
    <xf numFmtId="3" fontId="9" fillId="0" borderId="26" xfId="20" applyNumberFormat="1" applyFont="1" applyBorder="1">
      <alignment/>
      <protection/>
    </xf>
    <xf numFmtId="3" fontId="9" fillId="0" borderId="27" xfId="20" applyNumberFormat="1" applyFont="1" applyBorder="1">
      <alignment/>
      <protection/>
    </xf>
    <xf numFmtId="3" fontId="14" fillId="0" borderId="26" xfId="20" applyNumberFormat="1" applyFont="1" applyBorder="1">
      <alignment/>
      <protection/>
    </xf>
    <xf numFmtId="0" fontId="11" fillId="0" borderId="26" xfId="0" applyFont="1" applyBorder="1" applyAlignment="1">
      <alignment horizontal="left"/>
    </xf>
    <xf numFmtId="3" fontId="14" fillId="0" borderId="27" xfId="20" applyNumberFormat="1" applyFont="1" applyBorder="1">
      <alignment/>
      <protection/>
    </xf>
    <xf numFmtId="0" fontId="3" fillId="0" borderId="14" xfId="0" applyFont="1" applyBorder="1" applyAlignment="1">
      <alignment wrapText="1"/>
    </xf>
    <xf numFmtId="0" fontId="16" fillId="0" borderId="0" xfId="20" applyFont="1" applyAlignment="1">
      <alignment horizontal="center"/>
      <protection/>
    </xf>
    <xf numFmtId="0" fontId="16" fillId="0" borderId="12" xfId="20" applyFont="1" applyBorder="1">
      <alignment/>
      <protection/>
    </xf>
    <xf numFmtId="0" fontId="16" fillId="0" borderId="3" xfId="20" applyFont="1" applyBorder="1">
      <alignment/>
      <protection/>
    </xf>
    <xf numFmtId="0" fontId="1" fillId="0" borderId="12" xfId="20" applyFont="1" applyBorder="1">
      <alignment/>
      <protection/>
    </xf>
    <xf numFmtId="0" fontId="1" fillId="0" borderId="3" xfId="20" applyFont="1" applyBorder="1">
      <alignment/>
      <protection/>
    </xf>
    <xf numFmtId="0" fontId="11" fillId="0" borderId="8" xfId="0" applyFont="1" applyBorder="1" applyAlignment="1">
      <alignment horizontal="left"/>
    </xf>
    <xf numFmtId="0" fontId="14" fillId="0" borderId="1" xfId="20" applyFont="1" applyBorder="1" applyAlignment="1">
      <alignment horizontal="left"/>
      <protection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13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21" fillId="0" borderId="13" xfId="0" applyFont="1" applyBorder="1" applyAlignment="1">
      <alignment horizontal="justify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28" xfId="0" applyFont="1" applyBorder="1" applyAlignment="1">
      <alignment horizontal="justify" vertical="top" wrapText="1"/>
    </xf>
    <xf numFmtId="0" fontId="2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9" fillId="0" borderId="4" xfId="20" applyFont="1" applyBorder="1" applyAlignment="1">
      <alignment/>
      <protection/>
    </xf>
    <xf numFmtId="0" fontId="0" fillId="0" borderId="21" xfId="0" applyBorder="1" applyAlignment="1">
      <alignment/>
    </xf>
    <xf numFmtId="49" fontId="9" fillId="0" borderId="7" xfId="20" applyNumberFormat="1" applyFont="1" applyBorder="1" applyAlignment="1">
      <alignment horizontal="center"/>
      <protection/>
    </xf>
    <xf numFmtId="3" fontId="9" fillId="0" borderId="16" xfId="20" applyNumberFormat="1" applyFont="1" applyBorder="1">
      <alignment/>
      <protection/>
    </xf>
    <xf numFmtId="3" fontId="9" fillId="0" borderId="29" xfId="20" applyNumberFormat="1" applyFont="1" applyBorder="1">
      <alignment/>
      <protection/>
    </xf>
    <xf numFmtId="0" fontId="18" fillId="0" borderId="30" xfId="21" applyFont="1" applyBorder="1" applyAlignment="1">
      <alignment horizontal="center"/>
      <protection/>
    </xf>
    <xf numFmtId="0" fontId="18" fillId="0" borderId="31" xfId="21" applyFont="1" applyBorder="1" applyAlignment="1">
      <alignment horizontal="center"/>
      <protection/>
    </xf>
    <xf numFmtId="0" fontId="19" fillId="0" borderId="32" xfId="21" applyFont="1" applyBorder="1">
      <alignment/>
      <protection/>
    </xf>
    <xf numFmtId="3" fontId="19" fillId="0" borderId="33" xfId="21" applyNumberFormat="1" applyFont="1" applyBorder="1">
      <alignment/>
      <protection/>
    </xf>
    <xf numFmtId="0" fontId="19" fillId="0" borderId="34" xfId="21" applyFont="1" applyBorder="1" applyAlignment="1" quotePrefix="1">
      <alignment horizontal="left"/>
      <protection/>
    </xf>
    <xf numFmtId="3" fontId="19" fillId="0" borderId="34" xfId="21" applyNumberFormat="1" applyFont="1" applyBorder="1">
      <alignment/>
      <protection/>
    </xf>
    <xf numFmtId="0" fontId="19" fillId="0" borderId="35" xfId="21" applyFont="1" applyBorder="1">
      <alignment/>
      <protection/>
    </xf>
    <xf numFmtId="0" fontId="19" fillId="0" borderId="34" xfId="21" applyFont="1" applyBorder="1">
      <alignment/>
      <protection/>
    </xf>
    <xf numFmtId="3" fontId="19" fillId="0" borderId="35" xfId="21" applyNumberFormat="1" applyFont="1" applyBorder="1">
      <alignment/>
      <protection/>
    </xf>
    <xf numFmtId="0" fontId="19" fillId="0" borderId="34" xfId="21" applyFont="1" applyBorder="1" applyAlignment="1">
      <alignment/>
      <protection/>
    </xf>
    <xf numFmtId="0" fontId="19" fillId="0" borderId="35" xfId="21" applyFont="1" applyBorder="1" applyAlignment="1">
      <alignment horizontal="left"/>
      <protection/>
    </xf>
    <xf numFmtId="3" fontId="19" fillId="0" borderId="36" xfId="21" applyNumberFormat="1" applyFont="1" applyBorder="1">
      <alignment/>
      <protection/>
    </xf>
    <xf numFmtId="0" fontId="19" fillId="0" borderId="35" xfId="0" applyFont="1" applyBorder="1" applyAlignment="1">
      <alignment/>
    </xf>
    <xf numFmtId="0" fontId="19" fillId="0" borderId="37" xfId="21" applyFont="1" applyBorder="1">
      <alignment/>
      <protection/>
    </xf>
    <xf numFmtId="3" fontId="19" fillId="0" borderId="37" xfId="21" applyNumberFormat="1" applyFont="1" applyBorder="1">
      <alignment/>
      <protection/>
    </xf>
    <xf numFmtId="0" fontId="19" fillId="0" borderId="37" xfId="0" applyFont="1" applyBorder="1" applyAlignment="1">
      <alignment/>
    </xf>
    <xf numFmtId="0" fontId="19" fillId="0" borderId="38" xfId="21" applyFont="1" applyBorder="1">
      <alignment/>
      <protection/>
    </xf>
    <xf numFmtId="0" fontId="19" fillId="0" borderId="25" xfId="0" applyFont="1" applyBorder="1" applyAlignment="1">
      <alignment/>
    </xf>
    <xf numFmtId="0" fontId="19" fillId="0" borderId="39" xfId="21" applyFont="1" applyBorder="1">
      <alignment/>
      <protection/>
    </xf>
    <xf numFmtId="3" fontId="19" fillId="0" borderId="39" xfId="21" applyNumberFormat="1" applyFont="1" applyBorder="1">
      <alignment/>
      <protection/>
    </xf>
    <xf numFmtId="0" fontId="19" fillId="0" borderId="39" xfId="0" applyFont="1" applyBorder="1" applyAlignment="1">
      <alignment/>
    </xf>
    <xf numFmtId="0" fontId="18" fillId="0" borderId="40" xfId="21" applyFont="1" applyBorder="1">
      <alignment/>
      <protection/>
    </xf>
    <xf numFmtId="3" fontId="18" fillId="0" borderId="40" xfId="21" applyNumberFormat="1" applyFont="1" applyBorder="1">
      <alignment/>
      <protection/>
    </xf>
    <xf numFmtId="0" fontId="19" fillId="0" borderId="0" xfId="21" applyFont="1" applyBorder="1">
      <alignment/>
      <protection/>
    </xf>
    <xf numFmtId="0" fontId="18" fillId="0" borderId="5" xfId="21" applyFont="1" applyBorder="1" applyAlignment="1">
      <alignment horizontal="centerContinuous"/>
      <protection/>
    </xf>
    <xf numFmtId="0" fontId="18" fillId="0" borderId="41" xfId="21" applyFont="1" applyBorder="1" applyAlignment="1">
      <alignment horizontal="centerContinuous"/>
      <protection/>
    </xf>
    <xf numFmtId="0" fontId="19" fillId="0" borderId="42" xfId="21" applyFont="1" applyBorder="1" applyAlignment="1">
      <alignment horizontal="left"/>
      <protection/>
    </xf>
    <xf numFmtId="3" fontId="19" fillId="0" borderId="34" xfId="21" applyNumberFormat="1" applyFont="1" applyBorder="1" applyAlignment="1">
      <alignment horizontal="right"/>
      <protection/>
    </xf>
    <xf numFmtId="3" fontId="19" fillId="0" borderId="38" xfId="21" applyNumberFormat="1" applyFont="1" applyBorder="1">
      <alignment/>
      <protection/>
    </xf>
    <xf numFmtId="0" fontId="9" fillId="0" borderId="21" xfId="20" applyFont="1" applyBorder="1" applyAlignment="1">
      <alignment/>
      <protection/>
    </xf>
    <xf numFmtId="0" fontId="9" fillId="0" borderId="20" xfId="20" applyFont="1" applyBorder="1" applyAlignment="1">
      <alignment/>
      <protection/>
    </xf>
    <xf numFmtId="0" fontId="9" fillId="0" borderId="21" xfId="0" applyFont="1" applyBorder="1" applyAlignment="1">
      <alignment/>
    </xf>
    <xf numFmtId="0" fontId="9" fillId="0" borderId="25" xfId="20" applyFont="1" applyBorder="1" applyAlignment="1">
      <alignment/>
      <protection/>
    </xf>
    <xf numFmtId="0" fontId="9" fillId="0" borderId="24" xfId="0" applyFont="1" applyBorder="1" applyAlignment="1">
      <alignment/>
    </xf>
    <xf numFmtId="0" fontId="0" fillId="0" borderId="24" xfId="0" applyBorder="1" applyAlignment="1">
      <alignment/>
    </xf>
    <xf numFmtId="0" fontId="9" fillId="0" borderId="10" xfId="20" applyFont="1" applyBorder="1" applyAlignment="1">
      <alignment/>
      <protection/>
    </xf>
    <xf numFmtId="0" fontId="9" fillId="0" borderId="24" xfId="20" applyFont="1" applyBorder="1" applyAlignment="1">
      <alignment/>
      <protection/>
    </xf>
    <xf numFmtId="0" fontId="9" fillId="0" borderId="25" xfId="0" applyFont="1" applyBorder="1" applyAlignment="1">
      <alignment/>
    </xf>
    <xf numFmtId="0" fontId="9" fillId="0" borderId="25" xfId="20" applyFont="1" applyBorder="1" applyAlignment="1">
      <alignment horizontal="left"/>
      <protection/>
    </xf>
    <xf numFmtId="0" fontId="9" fillId="0" borderId="24" xfId="20" applyFont="1" applyBorder="1" applyAlignment="1">
      <alignment horizontal="left"/>
      <protection/>
    </xf>
    <xf numFmtId="0" fontId="9" fillId="0" borderId="20" xfId="0" applyFont="1" applyBorder="1" applyAlignment="1">
      <alignment horizontal="left" vertical="center"/>
    </xf>
    <xf numFmtId="0" fontId="0" fillId="0" borderId="25" xfId="0" applyBorder="1" applyAlignment="1">
      <alignment horizontal="left"/>
    </xf>
    <xf numFmtId="3" fontId="4" fillId="0" borderId="10" xfId="0" applyNumberFormat="1" applyFont="1" applyBorder="1" applyAlignment="1">
      <alignment horizontal="center" wrapText="1"/>
    </xf>
    <xf numFmtId="3" fontId="14" fillId="0" borderId="21" xfId="20" applyNumberFormat="1" applyFont="1" applyBorder="1" applyAlignment="1">
      <alignment horizontal="center"/>
      <protection/>
    </xf>
    <xf numFmtId="3" fontId="9" fillId="0" borderId="21" xfId="20" applyNumberFormat="1" applyFont="1" applyBorder="1" applyAlignment="1">
      <alignment horizontal="centerContinuous"/>
      <protection/>
    </xf>
    <xf numFmtId="0" fontId="9" fillId="0" borderId="20" xfId="0" applyFont="1" applyBorder="1" applyAlignment="1">
      <alignment/>
    </xf>
    <xf numFmtId="3" fontId="9" fillId="0" borderId="13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3" fontId="9" fillId="0" borderId="20" xfId="20" applyNumberFormat="1" applyFont="1" applyBorder="1" applyAlignment="1">
      <alignment horizontal="right"/>
      <protection/>
    </xf>
    <xf numFmtId="3" fontId="9" fillId="0" borderId="3" xfId="20" applyNumberFormat="1" applyFont="1" applyBorder="1" applyAlignment="1">
      <alignment horizontal="right"/>
      <protection/>
    </xf>
    <xf numFmtId="3" fontId="9" fillId="0" borderId="22" xfId="20" applyNumberFormat="1" applyFont="1" applyBorder="1" applyAlignment="1">
      <alignment horizontal="right"/>
      <protection/>
    </xf>
    <xf numFmtId="0" fontId="9" fillId="0" borderId="16" xfId="20" applyFont="1" applyBorder="1">
      <alignment/>
      <protection/>
    </xf>
    <xf numFmtId="0" fontId="14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13" xfId="0" applyFont="1" applyBorder="1" applyAlignment="1">
      <alignment horizontal="left" vertical="center" wrapText="1"/>
    </xf>
    <xf numFmtId="165" fontId="9" fillId="0" borderId="0" xfId="0" applyNumberFormat="1" applyFont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29" fillId="0" borderId="1" xfId="0" applyFont="1" applyBorder="1" applyAlignment="1">
      <alignment/>
    </xf>
    <xf numFmtId="3" fontId="29" fillId="0" borderId="12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" xfId="0" applyFont="1" applyBorder="1" applyAlignment="1">
      <alignment shrinkToFit="1"/>
    </xf>
    <xf numFmtId="0" fontId="4" fillId="0" borderId="14" xfId="0" applyFont="1" applyBorder="1" applyAlignment="1">
      <alignment shrinkToFit="1"/>
    </xf>
    <xf numFmtId="3" fontId="4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7" xfId="0" applyFont="1" applyBorder="1" applyAlignment="1">
      <alignment shrinkToFit="1"/>
    </xf>
    <xf numFmtId="3" fontId="4" fillId="0" borderId="16" xfId="0" applyNumberFormat="1" applyFont="1" applyBorder="1" applyAlignment="1">
      <alignment/>
    </xf>
    <xf numFmtId="0" fontId="14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3" fontId="31" fillId="0" borderId="12" xfId="0" applyNumberFormat="1" applyFont="1" applyBorder="1" applyAlignment="1">
      <alignment/>
    </xf>
    <xf numFmtId="0" fontId="31" fillId="0" borderId="7" xfId="0" applyFont="1" applyBorder="1" applyAlignment="1">
      <alignment/>
    </xf>
    <xf numFmtId="3" fontId="31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1" fillId="0" borderId="1" xfId="0" applyFont="1" applyBorder="1" applyAlignment="1">
      <alignment/>
    </xf>
    <xf numFmtId="0" fontId="3" fillId="0" borderId="1" xfId="0" applyFont="1" applyBorder="1" applyAlignment="1">
      <alignment shrinkToFit="1"/>
    </xf>
    <xf numFmtId="0" fontId="3" fillId="0" borderId="1" xfId="0" applyFont="1" applyBorder="1" applyAlignment="1">
      <alignment vertical="top" wrapText="1" shrinkToFit="1"/>
    </xf>
    <xf numFmtId="0" fontId="4" fillId="0" borderId="4" xfId="0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3" fillId="0" borderId="15" xfId="0" applyNumberFormat="1" applyFont="1" applyBorder="1" applyAlignment="1">
      <alignment wrapText="1"/>
    </xf>
    <xf numFmtId="37" fontId="4" fillId="0" borderId="10" xfId="0" applyNumberFormat="1" applyFont="1" applyBorder="1" applyAlignment="1">
      <alignment wrapText="1"/>
    </xf>
    <xf numFmtId="0" fontId="9" fillId="0" borderId="11" xfId="20" applyFont="1" applyBorder="1">
      <alignment/>
      <protection/>
    </xf>
    <xf numFmtId="0" fontId="4" fillId="0" borderId="43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3" fontId="4" fillId="0" borderId="11" xfId="0" applyNumberFormat="1" applyFont="1" applyBorder="1" applyAlignment="1">
      <alignment wrapText="1"/>
    </xf>
    <xf numFmtId="3" fontId="4" fillId="0" borderId="23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3" fontId="14" fillId="0" borderId="29" xfId="0" applyNumberFormat="1" applyFont="1" applyBorder="1" applyAlignment="1">
      <alignment/>
    </xf>
    <xf numFmtId="3" fontId="0" fillId="0" borderId="0" xfId="0" applyNumberFormat="1" applyAlignment="1">
      <alignment/>
    </xf>
    <xf numFmtId="0" fontId="32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1" xfId="0" applyFont="1" applyBorder="1" applyAlignment="1">
      <alignment shrinkToFit="1"/>
    </xf>
    <xf numFmtId="3" fontId="14" fillId="0" borderId="16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4" fontId="9" fillId="0" borderId="0" xfId="0" applyNumberFormat="1" applyFont="1" applyAlignment="1">
      <alignment horizontal="center"/>
    </xf>
    <xf numFmtId="0" fontId="17" fillId="0" borderId="13" xfId="0" applyFont="1" applyBorder="1" applyAlignment="1">
      <alignment horizontal="justify" vertical="top" wrapText="1"/>
    </xf>
    <xf numFmtId="0" fontId="17" fillId="0" borderId="0" xfId="0" applyFont="1" applyAlignment="1">
      <alignment/>
    </xf>
    <xf numFmtId="0" fontId="14" fillId="0" borderId="18" xfId="0" applyFont="1" applyBorder="1" applyAlignment="1">
      <alignment horizontal="center"/>
    </xf>
    <xf numFmtId="3" fontId="17" fillId="0" borderId="23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0" fontId="3" fillId="0" borderId="24" xfId="0" applyFont="1" applyBorder="1" applyAlignment="1">
      <alignment/>
    </xf>
    <xf numFmtId="3" fontId="19" fillId="0" borderId="41" xfId="21" applyNumberFormat="1" applyFont="1" applyBorder="1">
      <alignment/>
      <protection/>
    </xf>
    <xf numFmtId="49" fontId="9" fillId="0" borderId="14" xfId="20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3" fontId="9" fillId="0" borderId="44" xfId="0" applyNumberFormat="1" applyFont="1" applyBorder="1" applyAlignment="1">
      <alignment/>
    </xf>
    <xf numFmtId="3" fontId="14" fillId="0" borderId="45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9" fillId="0" borderId="44" xfId="0" applyFont="1" applyBorder="1" applyAlignment="1">
      <alignment/>
    </xf>
    <xf numFmtId="3" fontId="17" fillId="0" borderId="44" xfId="0" applyNumberFormat="1" applyFont="1" applyBorder="1" applyAlignment="1">
      <alignment/>
    </xf>
    <xf numFmtId="0" fontId="9" fillId="0" borderId="9" xfId="0" applyFont="1" applyBorder="1" applyAlignment="1">
      <alignment/>
    </xf>
    <xf numFmtId="3" fontId="14" fillId="0" borderId="18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14" fillId="0" borderId="12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0" fontId="33" fillId="0" borderId="1" xfId="0" applyFont="1" applyBorder="1" applyAlignment="1">
      <alignment/>
    </xf>
    <xf numFmtId="3" fontId="17" fillId="0" borderId="12" xfId="0" applyNumberFormat="1" applyFont="1" applyBorder="1" applyAlignment="1">
      <alignment horizontal="right"/>
    </xf>
    <xf numFmtId="3" fontId="17" fillId="0" borderId="12" xfId="0" applyNumberFormat="1" applyFont="1" applyBorder="1" applyAlignment="1">
      <alignment/>
    </xf>
    <xf numFmtId="0" fontId="34" fillId="0" borderId="0" xfId="0" applyFont="1" applyAlignment="1">
      <alignment/>
    </xf>
    <xf numFmtId="0" fontId="17" fillId="0" borderId="1" xfId="0" applyFont="1" applyBorder="1" applyAlignment="1">
      <alignment/>
    </xf>
    <xf numFmtId="3" fontId="14" fillId="0" borderId="12" xfId="0" applyNumberFormat="1" applyFont="1" applyBorder="1" applyAlignment="1">
      <alignment horizontal="right"/>
    </xf>
    <xf numFmtId="0" fontId="14" fillId="0" borderId="1" xfId="0" applyFont="1" applyBorder="1" applyAlignment="1">
      <alignment shrinkToFit="1"/>
    </xf>
    <xf numFmtId="0" fontId="9" fillId="0" borderId="1" xfId="0" applyFont="1" applyBorder="1" applyAlignment="1">
      <alignment shrinkToFit="1"/>
    </xf>
    <xf numFmtId="3" fontId="9" fillId="0" borderId="12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9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 shrinkToFit="1"/>
    </xf>
    <xf numFmtId="3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14" fillId="0" borderId="7" xfId="0" applyFont="1" applyBorder="1" applyAlignment="1">
      <alignment/>
    </xf>
    <xf numFmtId="3" fontId="14" fillId="0" borderId="16" xfId="0" applyNumberFormat="1" applyFont="1" applyBorder="1" applyAlignment="1">
      <alignment horizontal="right"/>
    </xf>
    <xf numFmtId="0" fontId="14" fillId="0" borderId="1" xfId="0" applyFont="1" applyBorder="1" applyAlignment="1">
      <alignment/>
    </xf>
    <xf numFmtId="0" fontId="33" fillId="0" borderId="1" xfId="0" applyFont="1" applyBorder="1" applyAlignment="1">
      <alignment shrinkToFit="1"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17" fillId="0" borderId="7" xfId="0" applyFont="1" applyBorder="1" applyAlignment="1">
      <alignment shrinkToFit="1"/>
    </xf>
    <xf numFmtId="3" fontId="17" fillId="0" borderId="16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1" xfId="0" applyFont="1" applyBorder="1" applyAlignment="1">
      <alignment wrapText="1"/>
    </xf>
    <xf numFmtId="3" fontId="9" fillId="0" borderId="12" xfId="0" applyNumberFormat="1" applyFont="1" applyBorder="1" applyAlignment="1">
      <alignment wrapText="1"/>
    </xf>
    <xf numFmtId="0" fontId="14" fillId="0" borderId="7" xfId="0" applyFont="1" applyBorder="1" applyAlignment="1">
      <alignment shrinkToFit="1"/>
    </xf>
    <xf numFmtId="3" fontId="14" fillId="0" borderId="29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14" fillId="0" borderId="0" xfId="0" applyNumberFormat="1" applyFont="1" applyAlignment="1">
      <alignment/>
    </xf>
    <xf numFmtId="0" fontId="4" fillId="0" borderId="18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/>
    </xf>
    <xf numFmtId="3" fontId="31" fillId="0" borderId="29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46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3" fontId="29" fillId="0" borderId="19" xfId="0" applyNumberFormat="1" applyFont="1" applyBorder="1" applyAlignment="1">
      <alignment horizontal="right" vertical="center" wrapText="1"/>
    </xf>
    <xf numFmtId="3" fontId="29" fillId="0" borderId="18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3" fontId="3" fillId="0" borderId="21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29" fillId="0" borderId="24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49" fontId="3" fillId="0" borderId="24" xfId="0" applyNumberFormat="1" applyFont="1" applyBorder="1" applyAlignment="1">
      <alignment/>
    </xf>
    <xf numFmtId="3" fontId="3" fillId="0" borderId="8" xfId="0" applyNumberFormat="1" applyFont="1" applyBorder="1" applyAlignment="1">
      <alignment wrapText="1"/>
    </xf>
    <xf numFmtId="3" fontId="3" fillId="0" borderId="26" xfId="0" applyNumberFormat="1" applyFont="1" applyBorder="1" applyAlignment="1">
      <alignment wrapText="1"/>
    </xf>
    <xf numFmtId="3" fontId="3" fillId="0" borderId="5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4" xfId="0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52" xfId="0" applyNumberFormat="1" applyFont="1" applyBorder="1" applyAlignment="1">
      <alignment/>
    </xf>
    <xf numFmtId="0" fontId="3" fillId="0" borderId="1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0" fontId="29" fillId="0" borderId="24" xfId="0" applyFont="1" applyBorder="1" applyAlignment="1">
      <alignment/>
    </xf>
    <xf numFmtId="3" fontId="29" fillId="0" borderId="10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26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0" xfId="0" applyNumberFormat="1" applyFont="1" applyAlignment="1">
      <alignment/>
    </xf>
    <xf numFmtId="0" fontId="19" fillId="0" borderId="35" xfId="0" applyFont="1" applyBorder="1" applyAlignment="1">
      <alignment shrinkToFit="1"/>
    </xf>
    <xf numFmtId="3" fontId="14" fillId="0" borderId="12" xfId="20" applyNumberFormat="1" applyFont="1" applyBorder="1" applyAlignment="1">
      <alignment horizontal="right"/>
      <protection/>
    </xf>
    <xf numFmtId="3" fontId="14" fillId="0" borderId="23" xfId="20" applyNumberFormat="1" applyFont="1" applyBorder="1" applyAlignment="1">
      <alignment horizontal="right"/>
      <protection/>
    </xf>
    <xf numFmtId="3" fontId="4" fillId="0" borderId="21" xfId="0" applyNumberFormat="1" applyFont="1" applyBorder="1" applyAlignment="1">
      <alignment/>
    </xf>
    <xf numFmtId="3" fontId="17" fillId="0" borderId="23" xfId="0" applyNumberFormat="1" applyFont="1" applyBorder="1" applyAlignment="1">
      <alignment/>
    </xf>
    <xf numFmtId="0" fontId="3" fillId="0" borderId="53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3" fontId="4" fillId="0" borderId="48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4" fillId="0" borderId="16" xfId="0" applyNumberFormat="1" applyFont="1" applyBorder="1" applyAlignment="1">
      <alignment/>
    </xf>
    <xf numFmtId="37" fontId="4" fillId="0" borderId="29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Continuous"/>
    </xf>
    <xf numFmtId="0" fontId="3" fillId="0" borderId="12" xfId="0" applyFont="1" applyBorder="1" applyAlignment="1">
      <alignment/>
    </xf>
    <xf numFmtId="0" fontId="36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6" fillId="0" borderId="0" xfId="0" applyFont="1" applyFill="1" applyAlignment="1">
      <alignment vertical="center" wrapText="1"/>
    </xf>
    <xf numFmtId="0" fontId="36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4" fillId="0" borderId="54" xfId="0" applyFont="1" applyBorder="1" applyAlignment="1">
      <alignment/>
    </xf>
    <xf numFmtId="0" fontId="14" fillId="0" borderId="55" xfId="0" applyFont="1" applyBorder="1" applyAlignment="1">
      <alignment horizontal="center"/>
    </xf>
    <xf numFmtId="0" fontId="9" fillId="0" borderId="56" xfId="0" applyFont="1" applyBorder="1" applyAlignment="1">
      <alignment/>
    </xf>
    <xf numFmtId="3" fontId="9" fillId="0" borderId="57" xfId="0" applyNumberFormat="1" applyFont="1" applyBorder="1" applyAlignment="1">
      <alignment/>
    </xf>
    <xf numFmtId="3" fontId="9" fillId="0" borderId="58" xfId="0" applyNumberFormat="1" applyFont="1" applyBorder="1" applyAlignment="1">
      <alignment/>
    </xf>
    <xf numFmtId="0" fontId="17" fillId="0" borderId="56" xfId="0" applyFont="1" applyBorder="1" applyAlignment="1">
      <alignment/>
    </xf>
    <xf numFmtId="3" fontId="17" fillId="0" borderId="57" xfId="0" applyNumberFormat="1" applyFont="1" applyBorder="1" applyAlignment="1">
      <alignment/>
    </xf>
    <xf numFmtId="0" fontId="9" fillId="0" borderId="57" xfId="0" applyFont="1" applyBorder="1" applyAlignment="1">
      <alignment/>
    </xf>
    <xf numFmtId="0" fontId="34" fillId="0" borderId="56" xfId="0" applyFont="1" applyBorder="1" applyAlignment="1">
      <alignment/>
    </xf>
    <xf numFmtId="3" fontId="14" fillId="0" borderId="57" xfId="0" applyNumberFormat="1" applyFont="1" applyBorder="1" applyAlignment="1">
      <alignment/>
    </xf>
    <xf numFmtId="3" fontId="14" fillId="0" borderId="58" xfId="0" applyNumberFormat="1" applyFont="1" applyBorder="1" applyAlignment="1">
      <alignment/>
    </xf>
    <xf numFmtId="0" fontId="39" fillId="0" borderId="56" xfId="0" applyFont="1" applyBorder="1" applyAlignment="1">
      <alignment/>
    </xf>
    <xf numFmtId="0" fontId="9" fillId="0" borderId="56" xfId="0" applyFont="1" applyBorder="1" applyAlignment="1">
      <alignment shrinkToFit="1"/>
    </xf>
    <xf numFmtId="0" fontId="14" fillId="0" borderId="56" xfId="0" applyFont="1" applyBorder="1" applyAlignment="1">
      <alignment/>
    </xf>
    <xf numFmtId="0" fontId="17" fillId="0" borderId="59" xfId="0" applyFont="1" applyBorder="1" applyAlignment="1">
      <alignment/>
    </xf>
    <xf numFmtId="3" fontId="17" fillId="0" borderId="60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0" fontId="9" fillId="0" borderId="9" xfId="0" applyFont="1" applyBorder="1" applyAlignment="1">
      <alignment shrinkToFit="1"/>
    </xf>
    <xf numFmtId="3" fontId="4" fillId="0" borderId="61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wrapText="1"/>
    </xf>
    <xf numFmtId="3" fontId="17" fillId="0" borderId="25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3" fontId="14" fillId="0" borderId="25" xfId="0" applyNumberFormat="1" applyFont="1" applyBorder="1" applyAlignment="1">
      <alignment/>
    </xf>
    <xf numFmtId="3" fontId="14" fillId="0" borderId="62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3" fontId="4" fillId="0" borderId="44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31" fillId="0" borderId="44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3" fontId="9" fillId="0" borderId="21" xfId="20" applyNumberFormat="1" applyFont="1" applyBorder="1">
      <alignment/>
      <protection/>
    </xf>
    <xf numFmtId="0" fontId="19" fillId="0" borderId="25" xfId="21" applyFont="1" applyBorder="1">
      <alignment/>
      <protection/>
    </xf>
    <xf numFmtId="0" fontId="19" fillId="0" borderId="2" xfId="21" applyFont="1" applyBorder="1" applyAlignment="1">
      <alignment horizontal="left"/>
      <protection/>
    </xf>
    <xf numFmtId="0" fontId="19" fillId="0" borderId="63" xfId="21" applyFont="1" applyBorder="1">
      <alignment/>
      <protection/>
    </xf>
    <xf numFmtId="0" fontId="19" fillId="0" borderId="38" xfId="21" applyFont="1" applyBorder="1" applyAlignment="1">
      <alignment horizontal="left"/>
      <protection/>
    </xf>
    <xf numFmtId="0" fontId="19" fillId="0" borderId="36" xfId="21" applyFont="1" applyBorder="1">
      <alignment/>
      <protection/>
    </xf>
    <xf numFmtId="3" fontId="19" fillId="0" borderId="30" xfId="21" applyNumberFormat="1" applyFont="1" applyBorder="1">
      <alignment/>
      <protection/>
    </xf>
    <xf numFmtId="0" fontId="19" fillId="0" borderId="8" xfId="21" applyFont="1" applyBorder="1">
      <alignment/>
      <protection/>
    </xf>
    <xf numFmtId="0" fontId="19" fillId="0" borderId="64" xfId="21" applyFont="1" applyBorder="1">
      <alignment/>
      <protection/>
    </xf>
    <xf numFmtId="0" fontId="17" fillId="0" borderId="12" xfId="0" applyFont="1" applyBorder="1" applyAlignment="1">
      <alignment/>
    </xf>
    <xf numFmtId="176" fontId="9" fillId="0" borderId="0" xfId="0" applyNumberFormat="1" applyFont="1" applyAlignment="1">
      <alignment/>
    </xf>
    <xf numFmtId="0" fontId="14" fillId="0" borderId="57" xfId="0" applyFont="1" applyBorder="1" applyAlignment="1">
      <alignment/>
    </xf>
    <xf numFmtId="0" fontId="4" fillId="0" borderId="7" xfId="0" applyFont="1" applyBorder="1" applyAlignment="1">
      <alignment vertical="top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45" xfId="0" applyNumberFormat="1" applyFont="1" applyBorder="1" applyAlignment="1">
      <alignment horizontal="right" vertical="center" wrapText="1"/>
    </xf>
    <xf numFmtId="0" fontId="9" fillId="0" borderId="3" xfId="20" applyFont="1" applyBorder="1" applyAlignment="1">
      <alignment/>
      <protection/>
    </xf>
    <xf numFmtId="0" fontId="4" fillId="0" borderId="24" xfId="0" applyFont="1" applyBorder="1" applyAlignment="1">
      <alignment wrapText="1"/>
    </xf>
    <xf numFmtId="0" fontId="34" fillId="0" borderId="65" xfId="0" applyFont="1" applyBorder="1" applyAlignment="1">
      <alignment/>
    </xf>
    <xf numFmtId="3" fontId="14" fillId="0" borderId="66" xfId="0" applyNumberFormat="1" applyFont="1" applyBorder="1" applyAlignment="1">
      <alignment/>
    </xf>
    <xf numFmtId="0" fontId="9" fillId="0" borderId="7" xfId="20" applyFont="1" applyBorder="1" applyAlignment="1">
      <alignment horizontal="right"/>
      <protection/>
    </xf>
    <xf numFmtId="0" fontId="9" fillId="0" borderId="15" xfId="20" applyFont="1" applyBorder="1" applyAlignment="1">
      <alignment/>
      <protection/>
    </xf>
    <xf numFmtId="3" fontId="4" fillId="0" borderId="12" xfId="0" applyNumberFormat="1" applyFont="1" applyBorder="1" applyAlignment="1">
      <alignment horizontal="left" wrapText="1"/>
    </xf>
    <xf numFmtId="3" fontId="3" fillId="0" borderId="12" xfId="0" applyNumberFormat="1" applyFont="1" applyBorder="1" applyAlignment="1">
      <alignment horizontal="left" wrapText="1"/>
    </xf>
    <xf numFmtId="3" fontId="4" fillId="0" borderId="16" xfId="0" applyNumberFormat="1" applyFont="1" applyBorder="1" applyAlignment="1">
      <alignment horizontal="left" wrapText="1"/>
    </xf>
    <xf numFmtId="3" fontId="4" fillId="0" borderId="18" xfId="0" applyNumberFormat="1" applyFont="1" applyBorder="1" applyAlignment="1">
      <alignment horizontal="center" wrapText="1"/>
    </xf>
    <xf numFmtId="3" fontId="9" fillId="0" borderId="24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4" fontId="9" fillId="0" borderId="44" xfId="0" applyNumberFormat="1" applyFont="1" applyBorder="1" applyAlignment="1">
      <alignment horizontal="center" vertical="center"/>
    </xf>
    <xf numFmtId="2" fontId="21" fillId="0" borderId="44" xfId="0" applyNumberFormat="1" applyFont="1" applyBorder="1" applyAlignment="1">
      <alignment horizontal="center" vertical="center" wrapText="1"/>
    </xf>
    <xf numFmtId="2" fontId="21" fillId="0" borderId="67" xfId="0" applyNumberFormat="1" applyFont="1" applyBorder="1" applyAlignment="1">
      <alignment horizontal="center" vertical="center" wrapText="1"/>
    </xf>
    <xf numFmtId="2" fontId="14" fillId="0" borderId="68" xfId="0" applyNumberFormat="1" applyFont="1" applyBorder="1" applyAlignment="1">
      <alignment horizontal="center" vertical="center" wrapText="1"/>
    </xf>
    <xf numFmtId="4" fontId="9" fillId="0" borderId="67" xfId="0" applyNumberFormat="1" applyFont="1" applyBorder="1" applyAlignment="1">
      <alignment horizontal="center" vertical="center"/>
    </xf>
    <xf numFmtId="4" fontId="17" fillId="0" borderId="68" xfId="0" applyNumberFormat="1" applyFont="1" applyBorder="1" applyAlignment="1">
      <alignment horizontal="center" vertical="center"/>
    </xf>
    <xf numFmtId="2" fontId="14" fillId="0" borderId="69" xfId="0" applyNumberFormat="1" applyFont="1" applyBorder="1" applyAlignment="1">
      <alignment horizontal="center" vertical="center" wrapText="1"/>
    </xf>
    <xf numFmtId="0" fontId="9" fillId="2" borderId="14" xfId="0" applyFont="1" applyFill="1" applyBorder="1" applyAlignment="1">
      <alignment shrinkToFit="1"/>
    </xf>
    <xf numFmtId="0" fontId="9" fillId="0" borderId="70" xfId="0" applyFont="1" applyBorder="1" applyAlignment="1">
      <alignment/>
    </xf>
    <xf numFmtId="0" fontId="9" fillId="0" borderId="71" xfId="0" applyFont="1" applyBorder="1" applyAlignment="1">
      <alignment/>
    </xf>
    <xf numFmtId="0" fontId="34" fillId="0" borderId="72" xfId="0" applyFont="1" applyBorder="1" applyAlignment="1">
      <alignment horizontal="left" vertical="center"/>
    </xf>
    <xf numFmtId="0" fontId="14" fillId="0" borderId="73" xfId="0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74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/>
    </xf>
    <xf numFmtId="3" fontId="31" fillId="0" borderId="24" xfId="0" applyNumberFormat="1" applyFont="1" applyBorder="1" applyAlignment="1">
      <alignment/>
    </xf>
    <xf numFmtId="3" fontId="17" fillId="0" borderId="24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  <xf numFmtId="3" fontId="4" fillId="0" borderId="44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19" fillId="0" borderId="35" xfId="21" applyNumberFormat="1" applyFont="1" applyFill="1" applyBorder="1">
      <alignment/>
      <protection/>
    </xf>
    <xf numFmtId="3" fontId="9" fillId="0" borderId="58" xfId="0" applyNumberFormat="1" applyFont="1" applyBorder="1" applyAlignment="1">
      <alignment horizontal="right"/>
    </xf>
    <xf numFmtId="3" fontId="9" fillId="0" borderId="75" xfId="0" applyNumberFormat="1" applyFont="1" applyBorder="1" applyAlignment="1">
      <alignment/>
    </xf>
    <xf numFmtId="0" fontId="39" fillId="0" borderId="65" xfId="0" applyFont="1" applyBorder="1" applyAlignment="1">
      <alignment/>
    </xf>
    <xf numFmtId="0" fontId="9" fillId="0" borderId="66" xfId="0" applyFont="1" applyBorder="1" applyAlignment="1">
      <alignment/>
    </xf>
    <xf numFmtId="0" fontId="9" fillId="0" borderId="14" xfId="20" applyFont="1" applyBorder="1" applyAlignment="1">
      <alignment horizontal="right"/>
      <protection/>
    </xf>
    <xf numFmtId="3" fontId="4" fillId="0" borderId="11" xfId="0" applyNumberFormat="1" applyFont="1" applyBorder="1" applyAlignment="1">
      <alignment horizontal="left" wrapText="1"/>
    </xf>
    <xf numFmtId="3" fontId="14" fillId="0" borderId="11" xfId="20" applyNumberFormat="1" applyFont="1" applyBorder="1" applyAlignment="1">
      <alignment horizontal="center"/>
      <protection/>
    </xf>
    <xf numFmtId="3" fontId="14" fillId="0" borderId="27" xfId="20" applyNumberFormat="1" applyFont="1" applyBorder="1" applyAlignment="1">
      <alignment horizontal="center"/>
      <protection/>
    </xf>
    <xf numFmtId="3" fontId="3" fillId="0" borderId="11" xfId="0" applyNumberFormat="1" applyFont="1" applyBorder="1" applyAlignment="1">
      <alignment horizontal="left" wrapText="1"/>
    </xf>
    <xf numFmtId="0" fontId="37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6" fillId="0" borderId="57" xfId="0" applyFont="1" applyFill="1" applyBorder="1" applyAlignment="1">
      <alignment horizontal="center" vertical="center"/>
    </xf>
    <xf numFmtId="3" fontId="36" fillId="0" borderId="57" xfId="0" applyNumberFormat="1" applyFont="1" applyFill="1" applyBorder="1" applyAlignment="1">
      <alignment horizontal="right" vertical="center"/>
    </xf>
    <xf numFmtId="3" fontId="38" fillId="0" borderId="76" xfId="0" applyNumberFormat="1" applyFont="1" applyFill="1" applyBorder="1" applyAlignment="1">
      <alignment horizontal="right" vertical="center"/>
    </xf>
    <xf numFmtId="3" fontId="36" fillId="0" borderId="57" xfId="0" applyNumberFormat="1" applyFont="1" applyFill="1" applyBorder="1" applyAlignment="1">
      <alignment vertical="center"/>
    </xf>
    <xf numFmtId="3" fontId="37" fillId="0" borderId="0" xfId="0" applyNumberFormat="1" applyFont="1" applyFill="1" applyAlignment="1">
      <alignment vertical="center"/>
    </xf>
    <xf numFmtId="0" fontId="38" fillId="0" borderId="57" xfId="0" applyFont="1" applyFill="1" applyBorder="1" applyAlignment="1">
      <alignment horizontal="center" vertical="center"/>
    </xf>
    <xf numFmtId="3" fontId="38" fillId="0" borderId="57" xfId="0" applyNumberFormat="1" applyFont="1" applyFill="1" applyBorder="1" applyAlignment="1">
      <alignment horizontal="right" vertical="center"/>
    </xf>
    <xf numFmtId="0" fontId="38" fillId="0" borderId="57" xfId="0" applyFont="1" applyFill="1" applyBorder="1" applyAlignment="1">
      <alignment horizontal="center" vertical="center"/>
    </xf>
    <xf numFmtId="3" fontId="38" fillId="0" borderId="66" xfId="0" applyNumberFormat="1" applyFont="1" applyFill="1" applyBorder="1" applyAlignment="1">
      <alignment horizontal="right" vertical="center"/>
    </xf>
    <xf numFmtId="0" fontId="38" fillId="0" borderId="77" xfId="0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vertical="center"/>
    </xf>
    <xf numFmtId="0" fontId="38" fillId="0" borderId="78" xfId="0" applyFont="1" applyFill="1" applyBorder="1" applyAlignment="1">
      <alignment horizontal="center" vertical="center"/>
    </xf>
    <xf numFmtId="3" fontId="42" fillId="0" borderId="78" xfId="0" applyNumberFormat="1" applyFont="1" applyFill="1" applyBorder="1" applyAlignment="1">
      <alignment vertical="center"/>
    </xf>
    <xf numFmtId="3" fontId="38" fillId="0" borderId="78" xfId="0" applyNumberFormat="1" applyFont="1" applyFill="1" applyBorder="1" applyAlignment="1">
      <alignment horizontal="right" vertical="center"/>
    </xf>
    <xf numFmtId="3" fontId="43" fillId="0" borderId="0" xfId="0" applyNumberFormat="1" applyFont="1" applyFill="1" applyBorder="1" applyAlignment="1">
      <alignment vertical="center"/>
    </xf>
    <xf numFmtId="3" fontId="43" fillId="0" borderId="0" xfId="0" applyNumberFormat="1" applyFont="1" applyFill="1" applyAlignment="1">
      <alignment vertical="center"/>
    </xf>
    <xf numFmtId="3" fontId="38" fillId="0" borderId="0" xfId="0" applyNumberFormat="1" applyFont="1" applyFill="1" applyAlignment="1">
      <alignment vertical="center"/>
    </xf>
    <xf numFmtId="3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3" fontId="42" fillId="0" borderId="79" xfId="0" applyNumberFormat="1" applyFont="1" applyFill="1" applyBorder="1" applyAlignment="1">
      <alignment vertical="center"/>
    </xf>
    <xf numFmtId="3" fontId="42" fillId="0" borderId="80" xfId="0" applyNumberFormat="1" applyFont="1" applyFill="1" applyBorder="1" applyAlignment="1">
      <alignment vertical="center"/>
    </xf>
    <xf numFmtId="3" fontId="4" fillId="0" borderId="18" xfId="0" applyNumberFormat="1" applyFont="1" applyBorder="1" applyAlignment="1">
      <alignment/>
    </xf>
    <xf numFmtId="0" fontId="3" fillId="0" borderId="81" xfId="0" applyFont="1" applyBorder="1" applyAlignment="1">
      <alignment/>
    </xf>
    <xf numFmtId="0" fontId="9" fillId="0" borderId="8" xfId="20" applyFont="1" applyBorder="1" applyAlignment="1">
      <alignment/>
      <protection/>
    </xf>
    <xf numFmtId="0" fontId="9" fillId="0" borderId="16" xfId="20" applyFont="1" applyBorder="1" applyAlignment="1">
      <alignment/>
      <protection/>
    </xf>
    <xf numFmtId="0" fontId="0" fillId="0" borderId="16" xfId="0" applyBorder="1" applyAlignment="1">
      <alignment/>
    </xf>
    <xf numFmtId="3" fontId="9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14" fillId="0" borderId="5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4" fillId="0" borderId="48" xfId="0" applyNumberFormat="1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14" fillId="0" borderId="48" xfId="0" applyNumberFormat="1" applyFont="1" applyBorder="1" applyAlignment="1">
      <alignment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 wrapText="1"/>
    </xf>
    <xf numFmtId="2" fontId="21" fillId="0" borderId="82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2" fontId="9" fillId="0" borderId="82" xfId="0" applyNumberFormat="1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2" fontId="14" fillId="0" borderId="83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/>
    </xf>
    <xf numFmtId="2" fontId="21" fillId="0" borderId="12" xfId="0" applyNumberFormat="1" applyFont="1" applyBorder="1" applyAlignment="1">
      <alignment horizontal="center" vertical="center" wrapText="1"/>
    </xf>
    <xf numFmtId="3" fontId="4" fillId="0" borderId="84" xfId="0" applyNumberFormat="1" applyFont="1" applyBorder="1" applyAlignment="1">
      <alignment horizontal="center" vertical="center" wrapText="1"/>
    </xf>
    <xf numFmtId="0" fontId="9" fillId="0" borderId="85" xfId="0" applyFont="1" applyBorder="1" applyAlignment="1">
      <alignment/>
    </xf>
    <xf numFmtId="3" fontId="4" fillId="0" borderId="75" xfId="0" applyNumberFormat="1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3" fontId="14" fillId="0" borderId="61" xfId="0" applyNumberFormat="1" applyFont="1" applyBorder="1" applyAlignment="1">
      <alignment horizontal="center"/>
    </xf>
    <xf numFmtId="0" fontId="9" fillId="0" borderId="23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26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49" xfId="0" applyNumberFormat="1" applyFont="1" applyBorder="1" applyAlignment="1">
      <alignment/>
    </xf>
    <xf numFmtId="0" fontId="3" fillId="0" borderId="83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86" xfId="0" applyFont="1" applyBorder="1" applyAlignment="1">
      <alignment/>
    </xf>
    <xf numFmtId="3" fontId="31" fillId="0" borderId="1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87" xfId="0" applyFont="1" applyBorder="1" applyAlignment="1">
      <alignment horizontal="center"/>
    </xf>
    <xf numFmtId="0" fontId="11" fillId="0" borderId="88" xfId="0" applyFont="1" applyBorder="1" applyAlignment="1">
      <alignment horizontal="center"/>
    </xf>
    <xf numFmtId="0" fontId="11" fillId="0" borderId="89" xfId="0" applyFont="1" applyBorder="1" applyAlignment="1">
      <alignment horizontal="center"/>
    </xf>
    <xf numFmtId="0" fontId="0" fillId="0" borderId="90" xfId="0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9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11" fillId="0" borderId="91" xfId="0" applyFont="1" applyBorder="1" applyAlignment="1">
      <alignment/>
    </xf>
    <xf numFmtId="0" fontId="0" fillId="0" borderId="90" xfId="0" applyFont="1" applyBorder="1" applyAlignment="1">
      <alignment horizontal="left"/>
    </xf>
    <xf numFmtId="0" fontId="0" fillId="0" borderId="91" xfId="0" applyFont="1" applyBorder="1" applyAlignment="1">
      <alignment/>
    </xf>
    <xf numFmtId="0" fontId="0" fillId="0" borderId="9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" fontId="0" fillId="0" borderId="91" xfId="0" applyNumberFormat="1" applyBorder="1" applyAlignment="1">
      <alignment/>
    </xf>
    <xf numFmtId="0" fontId="11" fillId="0" borderId="9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1" fontId="11" fillId="0" borderId="91" xfId="0" applyNumberFormat="1" applyFont="1" applyBorder="1" applyAlignment="1">
      <alignment/>
    </xf>
    <xf numFmtId="0" fontId="11" fillId="0" borderId="90" xfId="0" applyFont="1" applyBorder="1" applyAlignment="1">
      <alignment/>
    </xf>
    <xf numFmtId="0" fontId="11" fillId="0" borderId="12" xfId="0" applyFont="1" applyBorder="1" applyAlignment="1" quotePrefix="1">
      <alignment horizontal="right"/>
    </xf>
    <xf numFmtId="1" fontId="11" fillId="0" borderId="91" xfId="0" applyNumberFormat="1" applyFont="1" applyBorder="1" applyAlignment="1" quotePrefix="1">
      <alignment horizontal="right"/>
    </xf>
    <xf numFmtId="0" fontId="11" fillId="0" borderId="91" xfId="0" applyFont="1" applyBorder="1" applyAlignment="1" quotePrefix="1">
      <alignment horizontal="right"/>
    </xf>
    <xf numFmtId="1" fontId="11" fillId="0" borderId="12" xfId="0" applyNumberFormat="1" applyFont="1" applyBorder="1" applyAlignment="1" quotePrefix="1">
      <alignment horizontal="right"/>
    </xf>
    <xf numFmtId="0" fontId="32" fillId="0" borderId="92" xfId="0" applyFont="1" applyBorder="1" applyAlignment="1">
      <alignment/>
    </xf>
    <xf numFmtId="0" fontId="23" fillId="0" borderId="93" xfId="0" applyFont="1" applyBorder="1" applyAlignment="1">
      <alignment horizontal="center"/>
    </xf>
    <xf numFmtId="0" fontId="32" fillId="0" borderId="93" xfId="0" applyFont="1" applyBorder="1" applyAlignment="1">
      <alignment/>
    </xf>
    <xf numFmtId="0" fontId="32" fillId="0" borderId="94" xfId="0" applyFont="1" applyBorder="1" applyAlignment="1">
      <alignment/>
    </xf>
    <xf numFmtId="0" fontId="0" fillId="0" borderId="95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1" fontId="0" fillId="0" borderId="3" xfId="0" applyNumberFormat="1" applyBorder="1" applyAlignment="1">
      <alignment/>
    </xf>
    <xf numFmtId="1" fontId="0" fillId="0" borderId="96" xfId="0" applyNumberFormat="1" applyBorder="1" applyAlignment="1">
      <alignment/>
    </xf>
    <xf numFmtId="0" fontId="0" fillId="0" borderId="90" xfId="0" applyFont="1" applyBorder="1" applyAlignment="1">
      <alignment/>
    </xf>
    <xf numFmtId="0" fontId="0" fillId="0" borderId="12" xfId="0" applyBorder="1" applyAlignment="1" quotePrefix="1">
      <alignment horizontal="right"/>
    </xf>
    <xf numFmtId="0" fontId="0" fillId="0" borderId="97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 quotePrefix="1">
      <alignment horizontal="right"/>
    </xf>
    <xf numFmtId="1" fontId="0" fillId="0" borderId="11" xfId="0" applyNumberFormat="1" applyBorder="1" applyAlignment="1">
      <alignment/>
    </xf>
    <xf numFmtId="1" fontId="0" fillId="0" borderId="98" xfId="0" applyNumberFormat="1" applyBorder="1" applyAlignment="1">
      <alignment/>
    </xf>
    <xf numFmtId="3" fontId="32" fillId="0" borderId="94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3" fontId="32" fillId="0" borderId="0" xfId="0" applyNumberFormat="1" applyFont="1" applyBorder="1" applyAlignment="1">
      <alignment/>
    </xf>
    <xf numFmtId="0" fontId="45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1" fillId="0" borderId="90" xfId="0" applyFont="1" applyBorder="1" applyAlignment="1">
      <alignment horizontal="center"/>
    </xf>
    <xf numFmtId="3" fontId="11" fillId="0" borderId="12" xfId="0" applyNumberFormat="1" applyFont="1" applyBorder="1" applyAlignment="1">
      <alignment/>
    </xf>
    <xf numFmtId="3" fontId="11" fillId="0" borderId="91" xfId="0" applyNumberFormat="1" applyFont="1" applyBorder="1" applyAlignment="1">
      <alignment/>
    </xf>
    <xf numFmtId="3" fontId="0" fillId="0" borderId="91" xfId="0" applyNumberFormat="1" applyBorder="1" applyAlignment="1">
      <alignment/>
    </xf>
    <xf numFmtId="0" fontId="0" fillId="0" borderId="11" xfId="0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98" xfId="0" applyNumberFormat="1" applyFont="1" applyBorder="1" applyAlignment="1">
      <alignment/>
    </xf>
    <xf numFmtId="0" fontId="0" fillId="0" borderId="93" xfId="0" applyBorder="1" applyAlignment="1">
      <alignment/>
    </xf>
    <xf numFmtId="3" fontId="11" fillId="0" borderId="93" xfId="0" applyNumberFormat="1" applyFont="1" applyBorder="1" applyAlignment="1">
      <alignment/>
    </xf>
    <xf numFmtId="3" fontId="11" fillId="0" borderId="94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96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98" xfId="0" applyNumberFormat="1" applyBorder="1" applyAlignment="1">
      <alignment/>
    </xf>
    <xf numFmtId="3" fontId="11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0" fontId="2" fillId="0" borderId="0" xfId="0" applyFont="1" applyAlignment="1">
      <alignment/>
    </xf>
    <xf numFmtId="0" fontId="30" fillId="0" borderId="0" xfId="0" applyFont="1" applyAlignment="1">
      <alignment/>
    </xf>
    <xf numFmtId="0" fontId="3" fillId="0" borderId="40" xfId="0" applyFont="1" applyBorder="1" applyAlignment="1">
      <alignment horizontal="center"/>
    </xf>
    <xf numFmtId="0" fontId="3" fillId="0" borderId="40" xfId="0" applyFont="1" applyBorder="1" applyAlignment="1">
      <alignment/>
    </xf>
    <xf numFmtId="1" fontId="3" fillId="0" borderId="40" xfId="0" applyNumberFormat="1" applyFont="1" applyBorder="1" applyAlignment="1">
      <alignment horizontal="center"/>
    </xf>
    <xf numFmtId="3" fontId="9" fillId="0" borderId="4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30" fillId="0" borderId="0" xfId="0" applyFont="1" applyAlignment="1">
      <alignment horizontal="center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0" fillId="0" borderId="19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47" fillId="0" borderId="1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3" fontId="2" fillId="0" borderId="21" xfId="0" applyNumberFormat="1" applyFont="1" applyBorder="1" applyAlignment="1">
      <alignment horizontal="right" vertical="top" wrapText="1"/>
    </xf>
    <xf numFmtId="0" fontId="2" fillId="0" borderId="21" xfId="0" applyFont="1" applyBorder="1" applyAlignment="1">
      <alignment horizontal="right" vertical="top" wrapText="1"/>
    </xf>
    <xf numFmtId="3" fontId="30" fillId="0" borderId="68" xfId="0" applyNumberFormat="1" applyFont="1" applyBorder="1" applyAlignment="1">
      <alignment horizontal="right" vertical="top" wrapText="1"/>
    </xf>
    <xf numFmtId="0" fontId="30" fillId="2" borderId="12" xfId="0" applyFont="1" applyFill="1" applyBorder="1" applyAlignment="1">
      <alignment vertical="top" wrapText="1"/>
    </xf>
    <xf numFmtId="3" fontId="30" fillId="2" borderId="21" xfId="0" applyNumberFormat="1" applyFont="1" applyFill="1" applyBorder="1" applyAlignment="1">
      <alignment horizontal="right" vertical="top" wrapText="1"/>
    </xf>
    <xf numFmtId="0" fontId="47" fillId="0" borderId="7" xfId="0" applyFont="1" applyBorder="1" applyAlignment="1">
      <alignment/>
    </xf>
    <xf numFmtId="3" fontId="30" fillId="0" borderId="99" xfId="0" applyNumberFormat="1" applyFont="1" applyBorder="1" applyAlignment="1">
      <alignment horizontal="right" vertical="top" wrapText="1"/>
    </xf>
    <xf numFmtId="0" fontId="30" fillId="0" borderId="99" xfId="0" applyFont="1" applyBorder="1" applyAlignment="1">
      <alignment horizontal="right" vertical="top" wrapText="1"/>
    </xf>
    <xf numFmtId="3" fontId="30" fillId="0" borderId="29" xfId="0" applyNumberFormat="1" applyFont="1" applyBorder="1" applyAlignment="1">
      <alignment horizontal="right" vertical="top" wrapText="1"/>
    </xf>
    <xf numFmtId="0" fontId="3" fillId="0" borderId="8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0" xfId="0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4" fillId="0" borderId="23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4" fillId="0" borderId="9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3" fontId="3" fillId="0" borderId="22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49" xfId="0" applyBorder="1" applyAlignment="1">
      <alignment/>
    </xf>
    <xf numFmtId="0" fontId="5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right"/>
    </xf>
    <xf numFmtId="0" fontId="3" fillId="0" borderId="101" xfId="0" applyFont="1" applyBorder="1" applyAlignment="1">
      <alignment horizontal="left" vertical="top"/>
    </xf>
    <xf numFmtId="0" fontId="3" fillId="0" borderId="101" xfId="0" applyFont="1" applyBorder="1" applyAlignment="1">
      <alignment horizontal="left" vertical="top" wrapText="1"/>
    </xf>
    <xf numFmtId="3" fontId="3" fillId="0" borderId="102" xfId="0" applyNumberFormat="1" applyFont="1" applyBorder="1" applyAlignment="1">
      <alignment horizontal="center" vertical="top" wrapText="1"/>
    </xf>
    <xf numFmtId="3" fontId="3" fillId="0" borderId="10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/>
    </xf>
    <xf numFmtId="3" fontId="3" fillId="0" borderId="61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4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 wrapText="1"/>
    </xf>
    <xf numFmtId="0" fontId="3" fillId="0" borderId="104" xfId="0" applyFont="1" applyBorder="1" applyAlignment="1">
      <alignment horizontal="center" vertical="top"/>
    </xf>
    <xf numFmtId="3" fontId="3" fillId="0" borderId="18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105" xfId="0" applyFont="1" applyBorder="1" applyAlignment="1">
      <alignment horizontal="center"/>
    </xf>
    <xf numFmtId="0" fontId="4" fillId="0" borderId="106" xfId="0" applyFont="1" applyBorder="1" applyAlignment="1">
      <alignment horizontal="center"/>
    </xf>
    <xf numFmtId="3" fontId="4" fillId="0" borderId="106" xfId="0" applyNumberFormat="1" applyFont="1" applyBorder="1" applyAlignment="1">
      <alignment horizontal="center"/>
    </xf>
    <xf numFmtId="3" fontId="4" fillId="0" borderId="107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00" xfId="0" applyFont="1" applyBorder="1" applyAlignment="1">
      <alignment horizontal="center"/>
    </xf>
    <xf numFmtId="3" fontId="4" fillId="0" borderId="108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0" xfId="0" applyFont="1" applyAlignment="1">
      <alignment/>
    </xf>
    <xf numFmtId="0" fontId="31" fillId="0" borderId="12" xfId="0" applyFont="1" applyBorder="1" applyAlignment="1">
      <alignment/>
    </xf>
    <xf numFmtId="0" fontId="31" fillId="0" borderId="12" xfId="0" applyFont="1" applyBorder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2" xfId="0" applyFont="1" applyBorder="1" applyAlignment="1">
      <alignment wrapText="1"/>
    </xf>
    <xf numFmtId="0" fontId="0" fillId="0" borderId="0" xfId="0" applyFill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31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16" xfId="0" applyFont="1" applyBorder="1" applyAlignment="1">
      <alignment/>
    </xf>
    <xf numFmtId="3" fontId="3" fillId="0" borderId="0" xfId="0" applyNumberFormat="1" applyFont="1" applyAlignment="1">
      <alignment/>
    </xf>
    <xf numFmtId="0" fontId="3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3" fontId="4" fillId="0" borderId="18" xfId="0" applyNumberFormat="1" applyFont="1" applyBorder="1" applyAlignment="1">
      <alignment horizontal="center" vertical="top" wrapText="1"/>
    </xf>
    <xf numFmtId="3" fontId="4" fillId="0" borderId="6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/>
    </xf>
    <xf numFmtId="3" fontId="3" fillId="0" borderId="23" xfId="0" applyNumberFormat="1" applyFont="1" applyBorder="1" applyAlignment="1">
      <alignment wrapText="1"/>
    </xf>
    <xf numFmtId="0" fontId="3" fillId="0" borderId="12" xfId="0" applyFont="1" applyBorder="1" applyAlignment="1">
      <alignment horizontal="justify" wrapText="1"/>
    </xf>
    <xf numFmtId="0" fontId="3" fillId="0" borderId="12" xfId="0" applyFont="1" applyBorder="1" applyAlignment="1">
      <alignment horizontal="justify" vertical="top"/>
    </xf>
    <xf numFmtId="0" fontId="31" fillId="0" borderId="12" xfId="0" applyFont="1" applyBorder="1" applyAlignment="1">
      <alignment vertical="top"/>
    </xf>
    <xf numFmtId="3" fontId="4" fillId="0" borderId="23" xfId="0" applyNumberFormat="1" applyFont="1" applyBorder="1" applyAlignment="1">
      <alignment wrapText="1"/>
    </xf>
    <xf numFmtId="0" fontId="4" fillId="0" borderId="12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justify" wrapText="1"/>
    </xf>
    <xf numFmtId="0" fontId="3" fillId="0" borderId="7" xfId="0" applyFont="1" applyBorder="1" applyAlignment="1">
      <alignment horizontal="center"/>
    </xf>
    <xf numFmtId="0" fontId="3" fillId="0" borderId="16" xfId="0" applyFont="1" applyFill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9" fillId="0" borderId="13" xfId="0" applyFont="1" applyBorder="1" applyAlignment="1">
      <alignment/>
    </xf>
    <xf numFmtId="3" fontId="9" fillId="0" borderId="3" xfId="0" applyNumberFormat="1" applyFont="1" applyBorder="1" applyAlignment="1">
      <alignment/>
    </xf>
    <xf numFmtId="4" fontId="9" fillId="0" borderId="3" xfId="0" applyNumberFormat="1" applyFont="1" applyBorder="1" applyAlignment="1">
      <alignment/>
    </xf>
    <xf numFmtId="165" fontId="9" fillId="0" borderId="3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12" xfId="0" applyFont="1" applyBorder="1" applyAlignment="1">
      <alignment/>
    </xf>
    <xf numFmtId="0" fontId="14" fillId="0" borderId="1" xfId="0" applyFont="1" applyBorder="1" applyAlignment="1">
      <alignment/>
    </xf>
    <xf numFmtId="4" fontId="14" fillId="0" borderId="12" xfId="0" applyNumberFormat="1" applyFont="1" applyBorder="1" applyAlignment="1">
      <alignment/>
    </xf>
    <xf numFmtId="165" fontId="14" fillId="0" borderId="12" xfId="0" applyNumberFormat="1" applyFont="1" applyBorder="1" applyAlignment="1">
      <alignment/>
    </xf>
    <xf numFmtId="165" fontId="14" fillId="0" borderId="3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165" fontId="9" fillId="0" borderId="12" xfId="0" applyNumberFormat="1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1" xfId="0" applyFont="1" applyBorder="1" applyAlignment="1">
      <alignment/>
    </xf>
    <xf numFmtId="0" fontId="17" fillId="0" borderId="7" xfId="0" applyFont="1" applyBorder="1" applyAlignment="1">
      <alignment/>
    </xf>
    <xf numFmtId="3" fontId="17" fillId="0" borderId="16" xfId="0" applyNumberFormat="1" applyFont="1" applyBorder="1" applyAlignment="1">
      <alignment/>
    </xf>
    <xf numFmtId="4" fontId="14" fillId="0" borderId="16" xfId="0" applyNumberFormat="1" applyFont="1" applyBorder="1" applyAlignment="1">
      <alignment/>
    </xf>
    <xf numFmtId="0" fontId="57" fillId="0" borderId="109" xfId="0" applyFont="1" applyBorder="1" applyAlignment="1">
      <alignment horizontal="center"/>
    </xf>
    <xf numFmtId="0" fontId="52" fillId="0" borderId="110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8" fillId="0" borderId="57" xfId="0" applyFont="1" applyFill="1" applyBorder="1" applyAlignment="1">
      <alignment horizontal="center" vertical="center" wrapText="1"/>
    </xf>
    <xf numFmtId="0" fontId="59" fillId="0" borderId="57" xfId="0" applyFont="1" applyFill="1" applyBorder="1" applyAlignment="1">
      <alignment horizontal="center" vertical="center" wrapText="1"/>
    </xf>
    <xf numFmtId="3" fontId="38" fillId="0" borderId="111" xfId="0" applyNumberFormat="1" applyFont="1" applyFill="1" applyBorder="1" applyAlignment="1">
      <alignment horizontal="right" vertical="center"/>
    </xf>
    <xf numFmtId="0" fontId="38" fillId="0" borderId="78" xfId="0" applyFont="1" applyFill="1" applyBorder="1" applyAlignment="1">
      <alignment horizontal="center" vertical="center"/>
    </xf>
    <xf numFmtId="3" fontId="38" fillId="0" borderId="112" xfId="0" applyNumberFormat="1" applyFont="1" applyFill="1" applyBorder="1" applyAlignment="1">
      <alignment horizontal="right" vertical="center"/>
    </xf>
    <xf numFmtId="0" fontId="38" fillId="0" borderId="113" xfId="0" applyFont="1" applyFill="1" applyBorder="1" applyAlignment="1">
      <alignment horizontal="center" vertical="center"/>
    </xf>
    <xf numFmtId="3" fontId="38" fillId="0" borderId="114" xfId="0" applyNumberFormat="1" applyFont="1" applyFill="1" applyBorder="1" applyAlignment="1">
      <alignment horizontal="right" vertical="center"/>
    </xf>
    <xf numFmtId="3" fontId="38" fillId="0" borderId="115" xfId="0" applyNumberFormat="1" applyFont="1" applyFill="1" applyBorder="1" applyAlignment="1">
      <alignment horizontal="right" vertical="center"/>
    </xf>
    <xf numFmtId="3" fontId="38" fillId="0" borderId="116" xfId="0" applyNumberFormat="1" applyFont="1" applyFill="1" applyBorder="1" applyAlignment="1">
      <alignment horizontal="right" vertical="center"/>
    </xf>
    <xf numFmtId="0" fontId="60" fillId="0" borderId="0" xfId="0" applyFont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right" vertical="center"/>
    </xf>
    <xf numFmtId="3" fontId="37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117" xfId="0" applyFont="1" applyFill="1" applyBorder="1" applyAlignment="1">
      <alignment horizontal="center" vertical="center"/>
    </xf>
    <xf numFmtId="3" fontId="38" fillId="0" borderId="118" xfId="0" applyNumberFormat="1" applyFont="1" applyFill="1" applyBorder="1" applyAlignment="1">
      <alignment horizontal="right" vertical="center"/>
    </xf>
    <xf numFmtId="3" fontId="38" fillId="0" borderId="80" xfId="0" applyNumberFormat="1" applyFont="1" applyFill="1" applyBorder="1" applyAlignment="1">
      <alignment horizontal="right" vertical="center"/>
    </xf>
    <xf numFmtId="3" fontId="42" fillId="0" borderId="114" xfId="0" applyNumberFormat="1" applyFont="1" applyFill="1" applyBorder="1" applyAlignment="1">
      <alignment vertical="center"/>
    </xf>
    <xf numFmtId="3" fontId="42" fillId="0" borderId="115" xfId="0" applyNumberFormat="1" applyFont="1" applyFill="1" applyBorder="1" applyAlignment="1">
      <alignment vertical="center"/>
    </xf>
    <xf numFmtId="3" fontId="36" fillId="0" borderId="0" xfId="0" applyNumberFormat="1" applyFont="1" applyFill="1" applyAlignment="1">
      <alignment vertical="center" wrapText="1"/>
    </xf>
    <xf numFmtId="3" fontId="36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2" fillId="2" borderId="12" xfId="0" applyFont="1" applyFill="1" applyBorder="1" applyAlignment="1">
      <alignment vertical="top" wrapText="1"/>
    </xf>
    <xf numFmtId="0" fontId="30" fillId="0" borderId="12" xfId="0" applyFont="1" applyBorder="1" applyAlignment="1">
      <alignment vertical="top" wrapText="1"/>
    </xf>
    <xf numFmtId="3" fontId="30" fillId="0" borderId="21" xfId="0" applyNumberFormat="1" applyFont="1" applyBorder="1" applyAlignment="1">
      <alignment horizontal="right" vertical="top" wrapText="1"/>
    </xf>
    <xf numFmtId="3" fontId="2" fillId="2" borderId="21" xfId="0" applyNumberFormat="1" applyFont="1" applyFill="1" applyBorder="1" applyAlignment="1">
      <alignment horizontal="right" vertical="top" wrapText="1"/>
    </xf>
    <xf numFmtId="0" fontId="47" fillId="0" borderId="1" xfId="0" applyFont="1" applyBorder="1" applyAlignment="1">
      <alignment horizontal="left"/>
    </xf>
    <xf numFmtId="0" fontId="47" fillId="0" borderId="14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3" fontId="2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30" fillId="0" borderId="11" xfId="0" applyFont="1" applyBorder="1" applyAlignment="1">
      <alignment vertical="top" wrapText="1"/>
    </xf>
    <xf numFmtId="3" fontId="30" fillId="0" borderId="12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vertical="top" wrapText="1"/>
    </xf>
    <xf numFmtId="3" fontId="14" fillId="0" borderId="16" xfId="20" applyNumberFormat="1" applyFont="1" applyBorder="1" applyAlignment="1">
      <alignment horizontal="right"/>
      <protection/>
    </xf>
    <xf numFmtId="3" fontId="14" fillId="0" borderId="29" xfId="20" applyNumberFormat="1" applyFont="1" applyBorder="1" applyAlignment="1">
      <alignment horizontal="right"/>
      <protection/>
    </xf>
    <xf numFmtId="0" fontId="9" fillId="0" borderId="12" xfId="20" applyFont="1" applyBorder="1" applyAlignment="1">
      <alignment/>
      <protection/>
    </xf>
    <xf numFmtId="0" fontId="9" fillId="0" borderId="50" xfId="20" applyFont="1" applyBorder="1" applyAlignment="1">
      <alignment/>
      <protection/>
    </xf>
    <xf numFmtId="0" fontId="0" fillId="0" borderId="48" xfId="0" applyBorder="1" applyAlignment="1">
      <alignment/>
    </xf>
    <xf numFmtId="3" fontId="3" fillId="0" borderId="16" xfId="0" applyNumberFormat="1" applyFont="1" applyBorder="1" applyAlignment="1">
      <alignment horizontal="left" wrapText="1"/>
    </xf>
    <xf numFmtId="3" fontId="9" fillId="0" borderId="48" xfId="20" applyNumberFormat="1" applyFont="1" applyBorder="1">
      <alignment/>
      <protection/>
    </xf>
    <xf numFmtId="3" fontId="9" fillId="0" borderId="62" xfId="20" applyNumberFormat="1" applyFont="1" applyBorder="1">
      <alignment/>
      <protection/>
    </xf>
    <xf numFmtId="3" fontId="3" fillId="2" borderId="40" xfId="0" applyNumberFormat="1" applyFont="1" applyFill="1" applyBorder="1" applyAlignment="1">
      <alignment horizontal="right"/>
    </xf>
    <xf numFmtId="0" fontId="30" fillId="0" borderId="40" xfId="0" applyFont="1" applyBorder="1" applyAlignment="1">
      <alignment/>
    </xf>
    <xf numFmtId="0" fontId="30" fillId="0" borderId="119" xfId="0" applyFont="1" applyBorder="1" applyAlignment="1">
      <alignment/>
    </xf>
    <xf numFmtId="0" fontId="3" fillId="0" borderId="120" xfId="0" applyFont="1" applyBorder="1" applyAlignment="1">
      <alignment horizontal="center"/>
    </xf>
    <xf numFmtId="0" fontId="3" fillId="0" borderId="121" xfId="0" applyFont="1" applyBorder="1" applyAlignment="1">
      <alignment horizontal="center"/>
    </xf>
    <xf numFmtId="0" fontId="3" fillId="0" borderId="122" xfId="0" applyFont="1" applyBorder="1" applyAlignment="1">
      <alignment/>
    </xf>
    <xf numFmtId="0" fontId="3" fillId="0" borderId="122" xfId="0" applyFont="1" applyBorder="1" applyAlignment="1">
      <alignment horizontal="center"/>
    </xf>
    <xf numFmtId="3" fontId="3" fillId="0" borderId="40" xfId="0" applyNumberFormat="1" applyFont="1" applyBorder="1" applyAlignment="1">
      <alignment horizontal="right"/>
    </xf>
    <xf numFmtId="3" fontId="9" fillId="0" borderId="119" xfId="0" applyNumberFormat="1" applyFont="1" applyBorder="1" applyAlignment="1">
      <alignment horizontal="right"/>
    </xf>
    <xf numFmtId="0" fontId="4" fillId="0" borderId="122" xfId="0" applyFont="1" applyBorder="1" applyAlignment="1">
      <alignment/>
    </xf>
    <xf numFmtId="3" fontId="4" fillId="0" borderId="122" xfId="0" applyNumberFormat="1" applyFont="1" applyBorder="1" applyAlignment="1">
      <alignment horizontal="right"/>
    </xf>
    <xf numFmtId="3" fontId="4" fillId="0" borderId="123" xfId="0" applyNumberFormat="1" applyFont="1" applyBorder="1" applyAlignment="1">
      <alignment horizontal="right"/>
    </xf>
    <xf numFmtId="0" fontId="14" fillId="2" borderId="40" xfId="0" applyFont="1" applyFill="1" applyBorder="1" applyAlignment="1">
      <alignment horizontal="center" vertical="top"/>
    </xf>
    <xf numFmtId="0" fontId="26" fillId="0" borderId="0" xfId="0" applyFont="1" applyAlignment="1">
      <alignment/>
    </xf>
    <xf numFmtId="0" fontId="14" fillId="0" borderId="124" xfId="0" applyFont="1" applyBorder="1" applyAlignment="1">
      <alignment horizontal="center"/>
    </xf>
    <xf numFmtId="0" fontId="14" fillId="0" borderId="111" xfId="0" applyFont="1" applyBorder="1" applyAlignment="1">
      <alignment horizontal="center" vertical="center"/>
    </xf>
    <xf numFmtId="0" fontId="21" fillId="0" borderId="56" xfId="0" applyFont="1" applyBorder="1" applyAlignment="1">
      <alignment/>
    </xf>
    <xf numFmtId="3" fontId="21" fillId="0" borderId="57" xfId="0" applyNumberFormat="1" applyFont="1" applyBorder="1" applyAlignment="1">
      <alignment/>
    </xf>
    <xf numFmtId="3" fontId="21" fillId="0" borderId="58" xfId="0" applyNumberFormat="1" applyFont="1" applyBorder="1" applyAlignment="1">
      <alignment/>
    </xf>
    <xf numFmtId="176" fontId="21" fillId="0" borderId="58" xfId="0" applyNumberFormat="1" applyFont="1" applyBorder="1" applyAlignment="1">
      <alignment/>
    </xf>
    <xf numFmtId="0" fontId="9" fillId="0" borderId="56" xfId="0" applyFont="1" applyBorder="1" applyAlignment="1">
      <alignment/>
    </xf>
    <xf numFmtId="0" fontId="9" fillId="0" borderId="70" xfId="0" applyFont="1" applyBorder="1" applyAlignment="1">
      <alignment shrinkToFit="1"/>
    </xf>
    <xf numFmtId="3" fontId="9" fillId="0" borderId="76" xfId="0" applyNumberFormat="1" applyFont="1" applyBorder="1" applyAlignment="1">
      <alignment/>
    </xf>
    <xf numFmtId="3" fontId="9" fillId="0" borderId="125" xfId="0" applyNumberFormat="1" applyFont="1" applyBorder="1" applyAlignment="1">
      <alignment/>
    </xf>
    <xf numFmtId="3" fontId="17" fillId="0" borderId="76" xfId="0" applyNumberFormat="1" applyFont="1" applyBorder="1" applyAlignment="1">
      <alignment/>
    </xf>
    <xf numFmtId="3" fontId="14" fillId="0" borderId="76" xfId="0" applyNumberFormat="1" applyFont="1" applyBorder="1" applyAlignment="1">
      <alignment/>
    </xf>
    <xf numFmtId="3" fontId="21" fillId="0" borderId="76" xfId="0" applyNumberFormat="1" applyFont="1" applyBorder="1" applyAlignment="1">
      <alignment/>
    </xf>
    <xf numFmtId="176" fontId="21" fillId="0" borderId="76" xfId="0" applyNumberFormat="1" applyFont="1" applyBorder="1" applyAlignment="1">
      <alignment/>
    </xf>
    <xf numFmtId="3" fontId="14" fillId="0" borderId="76" xfId="0" applyNumberFormat="1" applyFont="1" applyBorder="1" applyAlignment="1">
      <alignment/>
    </xf>
    <xf numFmtId="3" fontId="17" fillId="0" borderId="126" xfId="0" applyNumberFormat="1" applyFont="1" applyBorder="1" applyAlignment="1">
      <alignment/>
    </xf>
    <xf numFmtId="0" fontId="14" fillId="0" borderId="56" xfId="0" applyFont="1" applyBorder="1" applyAlignment="1">
      <alignment/>
    </xf>
    <xf numFmtId="3" fontId="3" fillId="0" borderId="12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 wrapText="1"/>
    </xf>
    <xf numFmtId="3" fontId="3" fillId="0" borderId="12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9" fillId="0" borderId="0" xfId="0" applyFont="1" applyAlignment="1">
      <alignment horizontal="center" vertical="center"/>
    </xf>
    <xf numFmtId="1" fontId="52" fillId="0" borderId="127" xfId="0" applyNumberFormat="1" applyFont="1" applyBorder="1" applyAlignment="1">
      <alignment horizontal="center"/>
    </xf>
    <xf numFmtId="0" fontId="57" fillId="0" borderId="32" xfId="0" applyFont="1" applyBorder="1" applyAlignment="1">
      <alignment horizontal="center"/>
    </xf>
    <xf numFmtId="1" fontId="52" fillId="0" borderId="128" xfId="0" applyNumberFormat="1" applyFont="1" applyBorder="1" applyAlignment="1">
      <alignment horizontal="center"/>
    </xf>
    <xf numFmtId="0" fontId="57" fillId="0" borderId="3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7" fillId="0" borderId="32" xfId="0" applyFont="1" applyBorder="1" applyAlignment="1">
      <alignment horizontal="center" wrapText="1"/>
    </xf>
    <xf numFmtId="0" fontId="52" fillId="0" borderId="32" xfId="0" applyFont="1" applyBorder="1" applyAlignment="1">
      <alignment horizontal="center" wrapText="1"/>
    </xf>
    <xf numFmtId="3" fontId="57" fillId="0" borderId="32" xfId="0" applyNumberFormat="1" applyFont="1" applyBorder="1" applyAlignment="1">
      <alignment horizontal="center" wrapText="1"/>
    </xf>
    <xf numFmtId="3" fontId="52" fillId="0" borderId="129" xfId="0" applyNumberFormat="1" applyFont="1" applyBorder="1" applyAlignment="1">
      <alignment horizontal="center"/>
    </xf>
    <xf numFmtId="3" fontId="52" fillId="0" borderId="130" xfId="0" applyNumberFormat="1" applyFont="1" applyBorder="1" applyAlignment="1">
      <alignment horizontal="center"/>
    </xf>
    <xf numFmtId="3" fontId="52" fillId="0" borderId="32" xfId="0" applyNumberFormat="1" applyFont="1" applyBorder="1" applyAlignment="1">
      <alignment horizontal="center"/>
    </xf>
    <xf numFmtId="1" fontId="52" fillId="0" borderId="32" xfId="0" applyNumberFormat="1" applyFont="1" applyBorder="1" applyAlignment="1">
      <alignment horizontal="center" wrapText="1" shrinkToFit="1"/>
    </xf>
    <xf numFmtId="3" fontId="52" fillId="0" borderId="131" xfId="0" applyNumberFormat="1" applyFont="1" applyBorder="1" applyAlignment="1">
      <alignment horizontal="center"/>
    </xf>
    <xf numFmtId="3" fontId="52" fillId="0" borderId="32" xfId="0" applyNumberFormat="1" applyFont="1" applyFill="1" applyBorder="1" applyAlignment="1">
      <alignment horizontal="center"/>
    </xf>
    <xf numFmtId="3" fontId="52" fillId="0" borderId="132" xfId="0" applyNumberFormat="1" applyFont="1" applyFill="1" applyBorder="1" applyAlignment="1">
      <alignment horizontal="center"/>
    </xf>
    <xf numFmtId="3" fontId="52" fillId="0" borderId="129" xfId="0" applyNumberFormat="1" applyFont="1" applyFill="1" applyBorder="1" applyAlignment="1">
      <alignment horizontal="center"/>
    </xf>
    <xf numFmtId="3" fontId="52" fillId="0" borderId="130" xfId="0" applyNumberFormat="1" applyFont="1" applyFill="1" applyBorder="1" applyAlignment="1">
      <alignment horizontal="center"/>
    </xf>
    <xf numFmtId="3" fontId="52" fillId="0" borderId="133" xfId="0" applyNumberFormat="1" applyFont="1" applyFill="1" applyBorder="1" applyAlignment="1">
      <alignment horizontal="center"/>
    </xf>
    <xf numFmtId="0" fontId="57" fillId="0" borderId="35" xfId="0" applyFont="1" applyBorder="1" applyAlignment="1">
      <alignment horizontal="center" wrapText="1"/>
    </xf>
    <xf numFmtId="0" fontId="57" fillId="0" borderId="35" xfId="0" applyFont="1" applyBorder="1" applyAlignment="1">
      <alignment horizontal="center" wrapText="1" shrinkToFit="1"/>
    </xf>
    <xf numFmtId="0" fontId="52" fillId="0" borderId="35" xfId="0" applyFont="1" applyBorder="1" applyAlignment="1">
      <alignment horizontal="center" wrapText="1"/>
    </xf>
    <xf numFmtId="3" fontId="57" fillId="0" borderId="35" xfId="0" applyNumberFormat="1" applyFont="1" applyBorder="1" applyAlignment="1">
      <alignment horizontal="center" wrapText="1"/>
    </xf>
    <xf numFmtId="3" fontId="52" fillId="0" borderId="12" xfId="0" applyNumberFormat="1" applyFont="1" applyBorder="1" applyAlignment="1">
      <alignment horizontal="center"/>
    </xf>
    <xf numFmtId="3" fontId="52" fillId="0" borderId="10" xfId="0" applyNumberFormat="1" applyFont="1" applyBorder="1" applyAlignment="1">
      <alignment horizontal="center"/>
    </xf>
    <xf numFmtId="3" fontId="52" fillId="0" borderId="35" xfId="0" applyNumberFormat="1" applyFont="1" applyBorder="1" applyAlignment="1">
      <alignment horizontal="center"/>
    </xf>
    <xf numFmtId="1" fontId="52" fillId="0" borderId="35" xfId="0" applyNumberFormat="1" applyFont="1" applyBorder="1" applyAlignment="1">
      <alignment horizontal="center" wrapText="1" shrinkToFit="1"/>
    </xf>
    <xf numFmtId="3" fontId="52" fillId="0" borderId="91" xfId="0" applyNumberFormat="1" applyFont="1" applyBorder="1" applyAlignment="1">
      <alignment horizontal="center"/>
    </xf>
    <xf numFmtId="3" fontId="52" fillId="0" borderId="35" xfId="0" applyNumberFormat="1" applyFont="1" applyFill="1" applyBorder="1" applyAlignment="1">
      <alignment horizontal="center"/>
    </xf>
    <xf numFmtId="3" fontId="52" fillId="0" borderId="90" xfId="0" applyNumberFormat="1" applyFont="1" applyFill="1" applyBorder="1" applyAlignment="1">
      <alignment horizontal="center"/>
    </xf>
    <xf numFmtId="3" fontId="52" fillId="0" borderId="12" xfId="0" applyNumberFormat="1" applyFont="1" applyFill="1" applyBorder="1" applyAlignment="1">
      <alignment horizontal="center"/>
    </xf>
    <xf numFmtId="3" fontId="52" fillId="0" borderId="91" xfId="0" applyNumberFormat="1" applyFont="1" applyFill="1" applyBorder="1" applyAlignment="1">
      <alignment horizontal="center"/>
    </xf>
    <xf numFmtId="3" fontId="52" fillId="0" borderId="134" xfId="0" applyNumberFormat="1" applyFont="1" applyFill="1" applyBorder="1" applyAlignment="1">
      <alignment horizontal="center"/>
    </xf>
    <xf numFmtId="0" fontId="57" fillId="0" borderId="109" xfId="0" applyFont="1" applyBorder="1" applyAlignment="1">
      <alignment horizontal="center" wrapText="1"/>
    </xf>
    <xf numFmtId="0" fontId="57" fillId="0" borderId="109" xfId="0" applyFont="1" applyBorder="1" applyAlignment="1">
      <alignment horizontal="center" wrapText="1" shrinkToFit="1"/>
    </xf>
    <xf numFmtId="0" fontId="52" fillId="0" borderId="109" xfId="0" applyFont="1" applyBorder="1" applyAlignment="1">
      <alignment horizontal="center" wrapText="1"/>
    </xf>
    <xf numFmtId="3" fontId="57" fillId="0" borderId="109" xfId="0" applyNumberFormat="1" applyFont="1" applyBorder="1" applyAlignment="1">
      <alignment horizontal="center" wrapText="1"/>
    </xf>
    <xf numFmtId="3" fontId="52" fillId="0" borderId="135" xfId="0" applyNumberFormat="1" applyFont="1" applyBorder="1" applyAlignment="1">
      <alignment horizontal="center"/>
    </xf>
    <xf numFmtId="3" fontId="52" fillId="0" borderId="136" xfId="0" applyNumberFormat="1" applyFont="1" applyBorder="1" applyAlignment="1">
      <alignment horizontal="center"/>
    </xf>
    <xf numFmtId="1" fontId="52" fillId="0" borderId="109" xfId="0" applyNumberFormat="1" applyFont="1" applyBorder="1" applyAlignment="1">
      <alignment horizontal="center" wrapText="1" shrinkToFit="1"/>
    </xf>
    <xf numFmtId="3" fontId="52" fillId="0" borderId="90" xfId="0" applyNumberFormat="1" applyFont="1" applyBorder="1" applyAlignment="1">
      <alignment horizontal="center"/>
    </xf>
    <xf numFmtId="0" fontId="52" fillId="0" borderId="91" xfId="0" applyFont="1" applyBorder="1" applyAlignment="1">
      <alignment horizontal="center"/>
    </xf>
    <xf numFmtId="3" fontId="52" fillId="0" borderId="137" xfId="0" applyNumberFormat="1" applyFont="1" applyBorder="1" applyAlignment="1">
      <alignment horizontal="center"/>
    </xf>
    <xf numFmtId="3" fontId="52" fillId="0" borderId="138" xfId="0" applyNumberFormat="1" applyFont="1" applyBorder="1" applyAlignment="1">
      <alignment horizontal="center"/>
    </xf>
    <xf numFmtId="3" fontId="52" fillId="0" borderId="139" xfId="0" applyNumberFormat="1" applyFont="1" applyFill="1" applyBorder="1" applyAlignment="1">
      <alignment horizontal="center"/>
    </xf>
    <xf numFmtId="3" fontId="52" fillId="0" borderId="91" xfId="0" applyNumberFormat="1" applyFont="1" applyBorder="1" applyAlignment="1">
      <alignment horizontal="center" wrapText="1"/>
    </xf>
    <xf numFmtId="3" fontId="52" fillId="0" borderId="35" xfId="0" applyNumberFormat="1" applyFont="1" applyBorder="1" applyAlignment="1">
      <alignment horizontal="center" wrapText="1"/>
    </xf>
    <xf numFmtId="49" fontId="57" fillId="0" borderId="35" xfId="0" applyNumberFormat="1" applyFont="1" applyBorder="1" applyAlignment="1">
      <alignment horizontal="center" wrapText="1"/>
    </xf>
    <xf numFmtId="49" fontId="52" fillId="0" borderId="91" xfId="0" applyNumberFormat="1" applyFont="1" applyBorder="1" applyAlignment="1">
      <alignment horizontal="center" wrapText="1"/>
    </xf>
    <xf numFmtId="49" fontId="52" fillId="0" borderId="35" xfId="0" applyNumberFormat="1" applyFont="1" applyBorder="1" applyAlignment="1">
      <alignment horizontal="center" wrapText="1"/>
    </xf>
    <xf numFmtId="0" fontId="52" fillId="0" borderId="0" xfId="0" applyFont="1" applyAlignment="1">
      <alignment horizontal="center" wrapText="1"/>
    </xf>
    <xf numFmtId="0" fontId="52" fillId="0" borderId="140" xfId="0" applyFont="1" applyBorder="1" applyAlignment="1">
      <alignment horizontal="center"/>
    </xf>
    <xf numFmtId="0" fontId="52" fillId="0" borderId="140" xfId="0" applyFont="1" applyBorder="1" applyAlignment="1">
      <alignment horizontal="center" wrapText="1"/>
    </xf>
    <xf numFmtId="3" fontId="52" fillId="0" borderId="140" xfId="0" applyNumberFormat="1" applyFont="1" applyBorder="1" applyAlignment="1">
      <alignment horizontal="center"/>
    </xf>
    <xf numFmtId="3" fontId="52" fillId="0" borderId="141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3" fontId="53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14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3" fontId="55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30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/>
    </xf>
    <xf numFmtId="3" fontId="55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14" fillId="0" borderId="142" xfId="0" applyFont="1" applyBorder="1" applyAlignment="1">
      <alignment horizontal="center" vertical="center" wrapText="1"/>
    </xf>
    <xf numFmtId="0" fontId="14" fillId="0" borderId="143" xfId="0" applyFont="1" applyBorder="1" applyAlignment="1">
      <alignment horizontal="center" vertical="center" wrapText="1"/>
    </xf>
    <xf numFmtId="0" fontId="14" fillId="0" borderId="144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left" wrapText="1"/>
    </xf>
    <xf numFmtId="3" fontId="9" fillId="0" borderId="3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0" fontId="9" fillId="0" borderId="1" xfId="19" applyFont="1" applyFill="1" applyBorder="1" applyAlignment="1">
      <alignment wrapText="1"/>
      <protection/>
    </xf>
    <xf numFmtId="0" fontId="9" fillId="0" borderId="12" xfId="19" applyFont="1" applyFill="1" applyBorder="1" applyAlignment="1">
      <alignment wrapText="1"/>
      <protection/>
    </xf>
    <xf numFmtId="0" fontId="9" fillId="0" borderId="14" xfId="19" applyFont="1" applyFill="1" applyBorder="1" applyAlignment="1">
      <alignment wrapText="1"/>
      <protection/>
    </xf>
    <xf numFmtId="0" fontId="9" fillId="0" borderId="27" xfId="0" applyFont="1" applyBorder="1" applyAlignment="1">
      <alignment wrapText="1"/>
    </xf>
    <xf numFmtId="49" fontId="14" fillId="0" borderId="145" xfId="0" applyNumberFormat="1" applyFont="1" applyBorder="1" applyAlignment="1">
      <alignment horizontal="left" wrapText="1"/>
    </xf>
    <xf numFmtId="3" fontId="14" fillId="0" borderId="146" xfId="0" applyNumberFormat="1" applyFont="1" applyBorder="1" applyAlignment="1">
      <alignment/>
    </xf>
    <xf numFmtId="0" fontId="14" fillId="0" borderId="147" xfId="0" applyFont="1" applyBorder="1" applyAlignment="1">
      <alignment/>
    </xf>
    <xf numFmtId="49" fontId="2" fillId="0" borderId="0" xfId="0" applyNumberFormat="1" applyFont="1" applyAlignment="1">
      <alignment horizontal="left" wrapText="1"/>
    </xf>
    <xf numFmtId="0" fontId="30" fillId="0" borderId="9" xfId="22" applyFont="1" applyBorder="1" applyAlignment="1">
      <alignment horizontal="center" vertical="center" wrapText="1"/>
      <protection/>
    </xf>
    <xf numFmtId="0" fontId="30" fillId="0" borderId="18" xfId="22" applyFont="1" applyBorder="1" applyAlignment="1">
      <alignment horizontal="center" vertical="center" wrapText="1"/>
      <protection/>
    </xf>
    <xf numFmtId="0" fontId="30" fillId="0" borderId="61" xfId="22" applyFont="1" applyBorder="1" applyAlignment="1">
      <alignment horizontal="center" vertical="center" wrapText="1"/>
      <protection/>
    </xf>
    <xf numFmtId="0" fontId="2" fillId="0" borderId="13" xfId="22" applyFont="1" applyBorder="1" applyAlignment="1">
      <alignment horizontal="left" vertical="center" wrapText="1"/>
      <protection/>
    </xf>
    <xf numFmtId="0" fontId="2" fillId="0" borderId="3" xfId="22" applyFont="1" applyBorder="1" applyAlignment="1">
      <alignment horizontal="center" vertical="center" wrapText="1"/>
      <protection/>
    </xf>
    <xf numFmtId="3" fontId="2" fillId="0" borderId="3" xfId="22" applyNumberFormat="1" applyFont="1" applyBorder="1" applyAlignment="1">
      <alignment horizontal="right" vertical="center" wrapText="1"/>
      <protection/>
    </xf>
    <xf numFmtId="3" fontId="2" fillId="0" borderId="22" xfId="22" applyNumberFormat="1" applyFont="1" applyBorder="1" applyAlignment="1">
      <alignment horizontal="right" vertical="center" wrapText="1"/>
      <protection/>
    </xf>
    <xf numFmtId="0" fontId="2" fillId="0" borderId="1" xfId="22" applyFont="1" applyBorder="1">
      <alignment/>
      <protection/>
    </xf>
    <xf numFmtId="0" fontId="2" fillId="0" borderId="12" xfId="22" applyFont="1" applyBorder="1" applyAlignment="1">
      <alignment horizontal="center"/>
      <protection/>
    </xf>
    <xf numFmtId="3" fontId="2" fillId="0" borderId="12" xfId="22" applyNumberFormat="1" applyFont="1" applyBorder="1">
      <alignment/>
      <protection/>
    </xf>
    <xf numFmtId="3" fontId="2" fillId="0" borderId="23" xfId="22" applyNumberFormat="1" applyFont="1" applyBorder="1">
      <alignment/>
      <protection/>
    </xf>
    <xf numFmtId="0" fontId="2" fillId="0" borderId="148" xfId="22" applyFont="1" applyBorder="1">
      <alignment/>
      <protection/>
    </xf>
    <xf numFmtId="0" fontId="2" fillId="0" borderId="93" xfId="22" applyFont="1" applyBorder="1" applyAlignment="1">
      <alignment horizontal="center"/>
      <protection/>
    </xf>
    <xf numFmtId="3" fontId="2" fillId="0" borderId="149" xfId="22" applyNumberFormat="1" applyFont="1" applyBorder="1">
      <alignment/>
      <protection/>
    </xf>
    <xf numFmtId="0" fontId="30" fillId="0" borderId="145" xfId="22" applyFont="1" applyBorder="1">
      <alignment/>
      <protection/>
    </xf>
    <xf numFmtId="0" fontId="2" fillId="0" borderId="146" xfId="22" applyFont="1" applyBorder="1" applyAlignment="1">
      <alignment horizontal="center"/>
      <protection/>
    </xf>
    <xf numFmtId="3" fontId="30" fillId="0" borderId="146" xfId="22" applyNumberFormat="1" applyFont="1" applyBorder="1">
      <alignment/>
      <protection/>
    </xf>
    <xf numFmtId="3" fontId="30" fillId="0" borderId="147" xfId="22" applyNumberFormat="1" applyFont="1" applyBorder="1">
      <alignment/>
      <protection/>
    </xf>
    <xf numFmtId="3" fontId="4" fillId="0" borderId="43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/>
    </xf>
    <xf numFmtId="3" fontId="31" fillId="0" borderId="50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26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61" fillId="0" borderId="0" xfId="0" applyFont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3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1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0" fontId="62" fillId="0" borderId="1" xfId="0" applyFont="1" applyBorder="1" applyAlignment="1">
      <alignment/>
    </xf>
    <xf numFmtId="3" fontId="7" fillId="0" borderId="25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2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/>
    </xf>
    <xf numFmtId="3" fontId="8" fillId="0" borderId="50" xfId="0" applyNumberFormat="1" applyFont="1" applyBorder="1" applyAlignment="1">
      <alignment horizontal="right"/>
    </xf>
    <xf numFmtId="3" fontId="8" fillId="0" borderId="29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65" fontId="9" fillId="0" borderId="4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9" fillId="0" borderId="61" xfId="0" applyNumberFormat="1" applyFont="1" applyBorder="1" applyAlignment="1">
      <alignment/>
    </xf>
    <xf numFmtId="4" fontId="9" fillId="0" borderId="23" xfId="0" applyNumberFormat="1" applyFont="1" applyBorder="1" applyAlignment="1">
      <alignment/>
    </xf>
    <xf numFmtId="165" fontId="14" fillId="0" borderId="4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4" fontId="14" fillId="0" borderId="23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4" fontId="9" fillId="0" borderId="22" xfId="0" applyNumberFormat="1" applyFont="1" applyBorder="1" applyAlignment="1">
      <alignment/>
    </xf>
    <xf numFmtId="165" fontId="17" fillId="0" borderId="16" xfId="0" applyNumberFormat="1" applyFont="1" applyBorder="1" applyAlignment="1">
      <alignment/>
    </xf>
    <xf numFmtId="165" fontId="17" fillId="0" borderId="50" xfId="0" applyNumberFormat="1" applyFont="1" applyBorder="1" applyAlignment="1">
      <alignment/>
    </xf>
    <xf numFmtId="4" fontId="17" fillId="0" borderId="16" xfId="0" applyNumberFormat="1" applyFont="1" applyBorder="1" applyAlignment="1">
      <alignment/>
    </xf>
    <xf numFmtId="4" fontId="17" fillId="0" borderId="29" xfId="0" applyNumberFormat="1" applyFont="1" applyBorder="1" applyAlignment="1">
      <alignment/>
    </xf>
    <xf numFmtId="3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3" fillId="0" borderId="62" xfId="0" applyFont="1" applyBorder="1" applyAlignment="1">
      <alignment horizontal="center"/>
    </xf>
    <xf numFmtId="3" fontId="3" fillId="0" borderId="25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/>
    </xf>
    <xf numFmtId="3" fontId="4" fillId="0" borderId="150" xfId="0" applyNumberFormat="1" applyFont="1" applyBorder="1" applyAlignment="1">
      <alignment/>
    </xf>
    <xf numFmtId="3" fontId="3" fillId="0" borderId="150" xfId="0" applyNumberFormat="1" applyFont="1" applyBorder="1" applyAlignment="1">
      <alignment/>
    </xf>
    <xf numFmtId="3" fontId="4" fillId="0" borderId="151" xfId="0" applyNumberFormat="1" applyFont="1" applyBorder="1" applyAlignment="1">
      <alignment/>
    </xf>
    <xf numFmtId="3" fontId="4" fillId="0" borderId="152" xfId="0" applyNumberFormat="1" applyFont="1" applyBorder="1" applyAlignment="1">
      <alignment/>
    </xf>
    <xf numFmtId="4" fontId="29" fillId="0" borderId="21" xfId="0" applyNumberFormat="1" applyFont="1" applyBorder="1" applyAlignment="1">
      <alignment horizontal="right" vertical="center" wrapText="1"/>
    </xf>
    <xf numFmtId="4" fontId="29" fillId="0" borderId="16" xfId="0" applyNumberFormat="1" applyFont="1" applyBorder="1" applyAlignment="1">
      <alignment horizontal="right" vertical="center" wrapText="1"/>
    </xf>
    <xf numFmtId="0" fontId="4" fillId="0" borderId="62" xfId="0" applyFont="1" applyBorder="1" applyAlignment="1">
      <alignment horizontal="center" vertical="center" wrapText="1"/>
    </xf>
    <xf numFmtId="3" fontId="4" fillId="0" borderId="153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29" fillId="0" borderId="25" xfId="0" applyNumberFormat="1" applyFont="1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/>
    </xf>
    <xf numFmtId="2" fontId="3" fillId="0" borderId="154" xfId="0" applyNumberFormat="1" applyFont="1" applyBorder="1" applyAlignment="1">
      <alignment/>
    </xf>
    <xf numFmtId="2" fontId="4" fillId="0" borderId="154" xfId="0" applyNumberFormat="1" applyFont="1" applyBorder="1" applyAlignment="1">
      <alignment/>
    </xf>
    <xf numFmtId="2" fontId="3" fillId="0" borderId="155" xfId="0" applyNumberFormat="1" applyFont="1" applyBorder="1" applyAlignment="1">
      <alignment/>
    </xf>
    <xf numFmtId="2" fontId="4" fillId="0" borderId="156" xfId="0" applyNumberFormat="1" applyFont="1" applyBorder="1" applyAlignment="1">
      <alignment/>
    </xf>
    <xf numFmtId="2" fontId="3" fillId="0" borderId="69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0" fontId="39" fillId="0" borderId="54" xfId="0" applyFont="1" applyBorder="1" applyAlignment="1">
      <alignment/>
    </xf>
    <xf numFmtId="0" fontId="9" fillId="0" borderId="55" xfId="0" applyFont="1" applyBorder="1" applyAlignment="1">
      <alignment/>
    </xf>
    <xf numFmtId="3" fontId="9" fillId="0" borderId="84" xfId="0" applyNumberFormat="1" applyFont="1" applyBorder="1" applyAlignment="1">
      <alignment/>
    </xf>
    <xf numFmtId="3" fontId="9" fillId="0" borderId="124" xfId="0" applyNumberFormat="1" applyFont="1" applyBorder="1" applyAlignment="1">
      <alignment/>
    </xf>
    <xf numFmtId="0" fontId="21" fillId="0" borderId="59" xfId="0" applyFont="1" applyBorder="1" applyAlignment="1">
      <alignment/>
    </xf>
    <xf numFmtId="3" fontId="21" fillId="0" borderId="157" xfId="0" applyNumberFormat="1" applyFont="1" applyBorder="1" applyAlignment="1">
      <alignment/>
    </xf>
    <xf numFmtId="3" fontId="9" fillId="0" borderId="60" xfId="0" applyNumberFormat="1" applyFont="1" applyBorder="1" applyAlignment="1">
      <alignment/>
    </xf>
    <xf numFmtId="3" fontId="9" fillId="0" borderId="126" xfId="0" applyNumberFormat="1" applyFont="1" applyBorder="1" applyAlignment="1">
      <alignment/>
    </xf>
    <xf numFmtId="0" fontId="14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21" fillId="0" borderId="93" xfId="0" applyNumberFormat="1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/>
    </xf>
    <xf numFmtId="4" fontId="9" fillId="0" borderId="93" xfId="0" applyNumberFormat="1" applyFont="1" applyBorder="1" applyAlignment="1">
      <alignment horizontal="center" vertical="center"/>
    </xf>
    <xf numFmtId="2" fontId="14" fillId="0" borderId="100" xfId="0" applyNumberFormat="1" applyFont="1" applyBorder="1" applyAlignment="1">
      <alignment horizontal="center" vertical="center" wrapText="1"/>
    </xf>
    <xf numFmtId="3" fontId="14" fillId="0" borderId="107" xfId="20" applyNumberFormat="1" applyFont="1" applyBorder="1" applyAlignment="1">
      <alignment horizontal="center" vertical="center" wrapText="1"/>
      <protection/>
    </xf>
    <xf numFmtId="0" fontId="0" fillId="0" borderId="155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14" fillId="0" borderId="11" xfId="20" applyFont="1" applyBorder="1" applyAlignment="1">
      <alignment horizontal="center" vertical="center"/>
      <protection/>
    </xf>
    <xf numFmtId="0" fontId="0" fillId="0" borderId="100" xfId="0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0" borderId="24" xfId="0" applyFont="1" applyBorder="1" applyAlignment="1">
      <alignment wrapText="1"/>
    </xf>
    <xf numFmtId="0" fontId="14" fillId="0" borderId="7" xfId="0" applyFont="1" applyBorder="1" applyAlignment="1">
      <alignment wrapText="1"/>
    </xf>
    <xf numFmtId="0" fontId="14" fillId="0" borderId="48" xfId="0" applyFont="1" applyBorder="1" applyAlignment="1">
      <alignment wrapText="1"/>
    </xf>
    <xf numFmtId="0" fontId="0" fillId="0" borderId="153" xfId="0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/>
    </xf>
    <xf numFmtId="0" fontId="14" fillId="0" borderId="153" xfId="0" applyFont="1" applyBorder="1" applyAlignment="1">
      <alignment horizontal="center" vertical="center"/>
    </xf>
    <xf numFmtId="0" fontId="18" fillId="0" borderId="42" xfId="21" applyFont="1" applyBorder="1" applyAlignment="1">
      <alignment horizontal="center"/>
      <protection/>
    </xf>
    <xf numFmtId="0" fontId="20" fillId="0" borderId="158" xfId="0" applyFont="1" applyBorder="1" applyAlignment="1">
      <alignment/>
    </xf>
    <xf numFmtId="0" fontId="0" fillId="0" borderId="158" xfId="0" applyBorder="1" applyAlignment="1">
      <alignment/>
    </xf>
    <xf numFmtId="0" fontId="0" fillId="0" borderId="159" xfId="0" applyBorder="1" applyAlignment="1">
      <alignment/>
    </xf>
    <xf numFmtId="0" fontId="20" fillId="0" borderId="158" xfId="0" applyFont="1" applyBorder="1" applyAlignment="1">
      <alignment horizontal="center"/>
    </xf>
    <xf numFmtId="0" fontId="0" fillId="0" borderId="158" xfId="0" applyBorder="1" applyAlignment="1">
      <alignment horizontal="center"/>
    </xf>
    <xf numFmtId="0" fontId="0" fillId="0" borderId="159" xfId="0" applyBorder="1" applyAlignment="1">
      <alignment horizontal="center"/>
    </xf>
    <xf numFmtId="0" fontId="18" fillId="0" borderId="0" xfId="0" applyFont="1" applyAlignment="1">
      <alignment horizontal="center" shrinkToFit="1"/>
    </xf>
    <xf numFmtId="0" fontId="14" fillId="0" borderId="43" xfId="0" applyFont="1" applyBorder="1" applyAlignment="1">
      <alignment horizontal="center" vertical="center" wrapText="1"/>
    </xf>
    <xf numFmtId="0" fontId="14" fillId="0" borderId="15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15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/>
    </xf>
    <xf numFmtId="0" fontId="18" fillId="0" borderId="0" xfId="21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7" xfId="0" applyFont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/>
    </xf>
    <xf numFmtId="49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 wrapText="1"/>
    </xf>
    <xf numFmtId="0" fontId="0" fillId="0" borderId="24" xfId="0" applyBorder="1" applyAlignment="1">
      <alignment wrapText="1"/>
    </xf>
    <xf numFmtId="0" fontId="4" fillId="0" borderId="24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160" xfId="0" applyFont="1" applyBorder="1" applyAlignment="1">
      <alignment horizontal="center" vertical="center" wrapText="1"/>
    </xf>
    <xf numFmtId="0" fontId="3" fillId="0" borderId="161" xfId="0" applyFont="1" applyBorder="1" applyAlignment="1">
      <alignment horizontal="center" wrapText="1"/>
    </xf>
    <xf numFmtId="0" fontId="0" fillId="0" borderId="162" xfId="0" applyBorder="1" applyAlignment="1">
      <alignment horizontal="center" wrapText="1"/>
    </xf>
    <xf numFmtId="0" fontId="3" fillId="0" borderId="24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7" xfId="0" applyFont="1" applyBorder="1" applyAlignment="1">
      <alignment horizontal="left"/>
    </xf>
    <xf numFmtId="0" fontId="4" fillId="0" borderId="43" xfId="0" applyFont="1" applyBorder="1" applyAlignment="1">
      <alignment horizontal="center"/>
    </xf>
    <xf numFmtId="0" fontId="3" fillId="0" borderId="153" xfId="0" applyFont="1" applyBorder="1" applyAlignment="1">
      <alignment/>
    </xf>
    <xf numFmtId="0" fontId="0" fillId="0" borderId="74" xfId="0" applyBorder="1" applyAlignment="1">
      <alignment/>
    </xf>
    <xf numFmtId="0" fontId="4" fillId="0" borderId="0" xfId="0" applyFont="1" applyAlignment="1">
      <alignment horizontal="center"/>
    </xf>
    <xf numFmtId="0" fontId="14" fillId="0" borderId="106" xfId="20" applyFont="1" applyBorder="1" applyAlignment="1">
      <alignment horizontal="center" vertical="center" wrapText="1"/>
      <protection/>
    </xf>
    <xf numFmtId="0" fontId="0" fillId="0" borderId="81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9" fillId="0" borderId="4" xfId="20" applyFont="1" applyBorder="1" applyAlignment="1">
      <alignment/>
      <protection/>
    </xf>
    <xf numFmtId="0" fontId="9" fillId="0" borderId="21" xfId="20" applyFont="1" applyBorder="1" applyAlignment="1">
      <alignment/>
      <protection/>
    </xf>
    <xf numFmtId="0" fontId="9" fillId="0" borderId="10" xfId="20" applyFont="1" applyBorder="1" applyAlignment="1">
      <alignment/>
      <protection/>
    </xf>
    <xf numFmtId="0" fontId="9" fillId="0" borderId="24" xfId="20" applyFont="1" applyBorder="1" applyAlignment="1">
      <alignment/>
      <protection/>
    </xf>
    <xf numFmtId="0" fontId="14" fillId="0" borderId="11" xfId="20" applyFont="1" applyBorder="1" applyAlignment="1">
      <alignment horizontal="center" vertical="center" wrapText="1"/>
      <protection/>
    </xf>
    <xf numFmtId="0" fontId="9" fillId="0" borderId="25" xfId="20" applyFont="1" applyBorder="1" applyAlignment="1">
      <alignment/>
      <protection/>
    </xf>
    <xf numFmtId="0" fontId="9" fillId="0" borderId="24" xfId="0" applyFont="1" applyBorder="1" applyAlignment="1">
      <alignment/>
    </xf>
    <xf numFmtId="0" fontId="9" fillId="0" borderId="20" xfId="20" applyFont="1" applyBorder="1" applyAlignment="1">
      <alignment/>
      <protection/>
    </xf>
    <xf numFmtId="0" fontId="9" fillId="0" borderId="21" xfId="0" applyFont="1" applyBorder="1" applyAlignment="1">
      <alignment/>
    </xf>
    <xf numFmtId="49" fontId="14" fillId="0" borderId="17" xfId="20" applyNumberFormat="1" applyFont="1" applyBorder="1" applyAlignment="1">
      <alignment horizontal="left"/>
      <protection/>
    </xf>
    <xf numFmtId="49" fontId="14" fillId="0" borderId="25" xfId="20" applyNumberFormat="1" applyFont="1" applyBorder="1" applyAlignment="1">
      <alignment horizontal="left"/>
      <protection/>
    </xf>
    <xf numFmtId="49" fontId="14" fillId="0" borderId="24" xfId="20" applyNumberFormat="1" applyFont="1" applyBorder="1" applyAlignment="1">
      <alignment horizontal="left"/>
      <protection/>
    </xf>
    <xf numFmtId="0" fontId="9" fillId="0" borderId="25" xfId="0" applyFont="1" applyBorder="1" applyAlignment="1">
      <alignment/>
    </xf>
    <xf numFmtId="0" fontId="14" fillId="0" borderId="17" xfId="20" applyFont="1" applyBorder="1" applyAlignment="1">
      <alignment horizontal="left"/>
      <protection/>
    </xf>
    <xf numFmtId="0" fontId="14" fillId="0" borderId="25" xfId="20" applyFont="1" applyBorder="1" applyAlignment="1">
      <alignment horizontal="left"/>
      <protection/>
    </xf>
    <xf numFmtId="0" fontId="14" fillId="0" borderId="24" xfId="20" applyFont="1" applyBorder="1" applyAlignment="1">
      <alignment horizontal="left"/>
      <protection/>
    </xf>
    <xf numFmtId="0" fontId="0" fillId="0" borderId="25" xfId="0" applyBorder="1" applyAlignment="1">
      <alignment horizontal="left"/>
    </xf>
    <xf numFmtId="0" fontId="0" fillId="0" borderId="24" xfId="0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0" fillId="0" borderId="21" xfId="0" applyBorder="1" applyAlignment="1">
      <alignment/>
    </xf>
    <xf numFmtId="0" fontId="14" fillId="0" borderId="160" xfId="20" applyFont="1" applyBorder="1" applyAlignment="1">
      <alignment horizontal="center" vertical="center"/>
      <protection/>
    </xf>
    <xf numFmtId="0" fontId="9" fillId="0" borderId="161" xfId="0" applyFont="1" applyBorder="1" applyAlignment="1">
      <alignment horizontal="center" vertical="center"/>
    </xf>
    <xf numFmtId="0" fontId="9" fillId="0" borderId="162" xfId="0" applyFont="1" applyBorder="1" applyAlignment="1">
      <alignment horizontal="center" vertical="center"/>
    </xf>
    <xf numFmtId="0" fontId="9" fillId="0" borderId="16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6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15" fillId="0" borderId="0" xfId="20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100" xfId="0" applyFont="1" applyBorder="1" applyAlignment="1">
      <alignment horizontal="center" vertical="center"/>
    </xf>
    <xf numFmtId="0" fontId="14" fillId="0" borderId="106" xfId="20" applyFont="1" applyBorder="1" applyAlignment="1">
      <alignment horizontal="center" vertical="center"/>
      <protection/>
    </xf>
    <xf numFmtId="0" fontId="9" fillId="0" borderId="81" xfId="0" applyFont="1" applyBorder="1" applyAlignment="1">
      <alignment vertical="center"/>
    </xf>
    <xf numFmtId="0" fontId="9" fillId="0" borderId="100" xfId="0" applyFont="1" applyBorder="1" applyAlignment="1">
      <alignment vertical="center"/>
    </xf>
    <xf numFmtId="0" fontId="25" fillId="0" borderId="0" xfId="20" applyFont="1" applyAlignment="1">
      <alignment horizontal="center"/>
      <protection/>
    </xf>
    <xf numFmtId="0" fontId="9" fillId="0" borderId="25" xfId="20" applyFont="1" applyBorder="1" applyAlignment="1">
      <alignment horizontal="left"/>
      <protection/>
    </xf>
    <xf numFmtId="0" fontId="9" fillId="0" borderId="24" xfId="20" applyFont="1" applyBorder="1" applyAlignment="1">
      <alignment horizontal="left"/>
      <protection/>
    </xf>
    <xf numFmtId="0" fontId="36" fillId="0" borderId="0" xfId="0" applyFont="1" applyFill="1" applyBorder="1" applyAlignment="1">
      <alignment horizontal="center" vertical="center"/>
    </xf>
    <xf numFmtId="0" fontId="36" fillId="0" borderId="165" xfId="0" applyFont="1" applyFill="1" applyBorder="1" applyAlignment="1">
      <alignment horizontal="center" vertical="center" wrapText="1"/>
    </xf>
    <xf numFmtId="0" fontId="0" fillId="0" borderId="165" xfId="0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0" fillId="0" borderId="56" xfId="0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38" fillId="0" borderId="55" xfId="0" applyFont="1" applyFill="1" applyBorder="1" applyAlignment="1">
      <alignment horizontal="center" vertical="center" wrapText="1"/>
    </xf>
    <xf numFmtId="0" fontId="38" fillId="0" borderId="57" xfId="0" applyFont="1" applyFill="1" applyBorder="1" applyAlignment="1">
      <alignment horizontal="center" vertical="center" wrapText="1"/>
    </xf>
    <xf numFmtId="0" fontId="59" fillId="0" borderId="124" xfId="0" applyFont="1" applyFill="1" applyBorder="1" applyAlignment="1">
      <alignment horizontal="center" vertical="center" wrapText="1"/>
    </xf>
    <xf numFmtId="0" fontId="59" fillId="0" borderId="76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left" vertical="center" wrapText="1"/>
    </xf>
    <xf numFmtId="0" fontId="36" fillId="0" borderId="166" xfId="0" applyFont="1" applyFill="1" applyBorder="1" applyAlignment="1">
      <alignment horizontal="left" vertical="center" wrapText="1"/>
    </xf>
    <xf numFmtId="0" fontId="36" fillId="0" borderId="65" xfId="0" applyFont="1" applyFill="1" applyBorder="1" applyAlignment="1">
      <alignment horizontal="left" vertical="center" wrapText="1"/>
    </xf>
    <xf numFmtId="0" fontId="59" fillId="0" borderId="54" xfId="0" applyFont="1" applyFill="1" applyBorder="1" applyAlignment="1">
      <alignment horizontal="center" vertical="center" wrapText="1"/>
    </xf>
    <xf numFmtId="0" fontId="59" fillId="0" borderId="55" xfId="0" applyFont="1" applyFill="1" applyBorder="1" applyAlignment="1">
      <alignment horizontal="center" vertical="center" wrapText="1"/>
    </xf>
    <xf numFmtId="0" fontId="59" fillId="0" borderId="56" xfId="0" applyFont="1" applyFill="1" applyBorder="1" applyAlignment="1">
      <alignment horizontal="center" vertical="center" wrapText="1"/>
    </xf>
    <xf numFmtId="0" fontId="59" fillId="0" borderId="57" xfId="0" applyFont="1" applyFill="1" applyBorder="1" applyAlignment="1">
      <alignment horizontal="center" vertical="center" wrapText="1"/>
    </xf>
    <xf numFmtId="0" fontId="59" fillId="0" borderId="55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 wrapText="1"/>
    </xf>
    <xf numFmtId="0" fontId="36" fillId="0" borderId="166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8" fillId="0" borderId="167" xfId="0" applyFont="1" applyFill="1" applyBorder="1" applyAlignment="1">
      <alignment horizontal="center" vertical="center" wrapText="1"/>
    </xf>
    <xf numFmtId="0" fontId="38" fillId="0" borderId="168" xfId="0" applyFont="1" applyFill="1" applyBorder="1" applyAlignment="1">
      <alignment horizontal="center" vertical="center" wrapText="1"/>
    </xf>
    <xf numFmtId="0" fontId="38" fillId="0" borderId="169" xfId="0" applyFont="1" applyFill="1" applyBorder="1" applyAlignment="1">
      <alignment horizontal="center" vertical="center" wrapText="1"/>
    </xf>
    <xf numFmtId="0" fontId="38" fillId="0" borderId="54" xfId="0" applyFont="1" applyFill="1" applyBorder="1" applyAlignment="1">
      <alignment horizontal="center" vertical="center" wrapText="1"/>
    </xf>
    <xf numFmtId="0" fontId="38" fillId="0" borderId="56" xfId="0" applyFont="1" applyFill="1" applyBorder="1" applyAlignment="1">
      <alignment horizontal="center" vertical="center" wrapText="1"/>
    </xf>
    <xf numFmtId="0" fontId="38" fillId="0" borderId="55" xfId="0" applyFont="1" applyFill="1" applyBorder="1" applyAlignment="1">
      <alignment horizontal="center" vertical="center"/>
    </xf>
    <xf numFmtId="0" fontId="38" fillId="0" borderId="124" xfId="0" applyFont="1" applyFill="1" applyBorder="1" applyAlignment="1">
      <alignment horizontal="center" vertical="center" wrapText="1"/>
    </xf>
    <xf numFmtId="0" fontId="38" fillId="0" borderId="76" xfId="0" applyFont="1" applyFill="1" applyBorder="1" applyAlignment="1">
      <alignment horizontal="center" vertical="center" wrapText="1"/>
    </xf>
    <xf numFmtId="0" fontId="38" fillId="0" borderId="70" xfId="0" applyFont="1" applyFill="1" applyBorder="1" applyAlignment="1">
      <alignment horizontal="left" vertical="center" wrapText="1"/>
    </xf>
    <xf numFmtId="0" fontId="38" fillId="0" borderId="166" xfId="0" applyFont="1" applyFill="1" applyBorder="1" applyAlignment="1">
      <alignment horizontal="left" vertical="center" wrapText="1"/>
    </xf>
    <xf numFmtId="0" fontId="38" fillId="0" borderId="65" xfId="0" applyFont="1" applyFill="1" applyBorder="1" applyAlignment="1">
      <alignment horizontal="left" vertical="center" wrapText="1"/>
    </xf>
    <xf numFmtId="0" fontId="38" fillId="0" borderId="167" xfId="0" applyFont="1" applyFill="1" applyBorder="1" applyAlignment="1">
      <alignment horizontal="left" vertical="center" wrapText="1"/>
    </xf>
    <xf numFmtId="0" fontId="38" fillId="0" borderId="168" xfId="0" applyFont="1" applyFill="1" applyBorder="1" applyAlignment="1">
      <alignment horizontal="left" vertical="center" wrapText="1"/>
    </xf>
    <xf numFmtId="0" fontId="38" fillId="0" borderId="170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105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9" fillId="0" borderId="153" xfId="0" applyFont="1" applyBorder="1" applyAlignment="1">
      <alignment/>
    </xf>
    <xf numFmtId="0" fontId="0" fillId="0" borderId="171" xfId="0" applyBorder="1" applyAlignment="1">
      <alignment/>
    </xf>
    <xf numFmtId="0" fontId="15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9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91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right"/>
    </xf>
    <xf numFmtId="0" fontId="15" fillId="0" borderId="12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/>
    </xf>
    <xf numFmtId="0" fontId="14" fillId="2" borderId="172" xfId="0" applyFont="1" applyFill="1" applyBorder="1" applyAlignment="1">
      <alignment horizontal="center" vertical="top" wrapText="1"/>
    </xf>
    <xf numFmtId="0" fontId="0" fillId="2" borderId="40" xfId="0" applyFont="1" applyFill="1" applyBorder="1" applyAlignment="1">
      <alignment horizontal="center" vertical="top" wrapText="1"/>
    </xf>
    <xf numFmtId="0" fontId="14" fillId="2" borderId="173" xfId="0" applyFont="1" applyFill="1" applyBorder="1" applyAlignment="1">
      <alignment horizontal="center" vertical="top" wrapText="1"/>
    </xf>
    <xf numFmtId="0" fontId="9" fillId="2" borderId="119" xfId="0" applyFont="1" applyFill="1" applyBorder="1" applyAlignment="1">
      <alignment horizontal="center" vertical="top" wrapText="1"/>
    </xf>
    <xf numFmtId="0" fontId="30" fillId="0" borderId="0" xfId="22" applyFont="1" applyAlignment="1">
      <alignment horizontal="center"/>
      <protection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2" borderId="174" xfId="0" applyFont="1" applyFill="1" applyBorder="1" applyAlignment="1">
      <alignment horizontal="center" vertical="center"/>
    </xf>
    <xf numFmtId="0" fontId="0" fillId="2" borderId="172" xfId="0" applyFont="1" applyFill="1" applyBorder="1" applyAlignment="1">
      <alignment horizontal="center" vertical="center"/>
    </xf>
    <xf numFmtId="0" fontId="0" fillId="2" borderId="120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4" fillId="2" borderId="172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14" fillId="2" borderId="172" xfId="0" applyFont="1" applyFill="1" applyBorder="1" applyAlignment="1">
      <alignment horizontal="center" vertical="top"/>
    </xf>
    <xf numFmtId="0" fontId="0" fillId="2" borderId="40" xfId="0" applyFont="1" applyFill="1" applyBorder="1" applyAlignment="1">
      <alignment horizontal="center" vertical="top"/>
    </xf>
    <xf numFmtId="0" fontId="9" fillId="2" borderId="40" xfId="0" applyFont="1" applyFill="1" applyBorder="1" applyAlignment="1">
      <alignment horizontal="center" vertical="top" wrapText="1"/>
    </xf>
    <xf numFmtId="0" fontId="30" fillId="0" borderId="51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3" fillId="0" borderId="81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 wrapText="1"/>
    </xf>
    <xf numFmtId="0" fontId="0" fillId="0" borderId="81" xfId="0" applyBorder="1" applyAlignment="1">
      <alignment/>
    </xf>
    <xf numFmtId="0" fontId="0" fillId="0" borderId="100" xfId="0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15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 wrapText="1"/>
    </xf>
    <xf numFmtId="0" fontId="4" fillId="0" borderId="17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176" xfId="0" applyFont="1" applyBorder="1" applyAlignment="1">
      <alignment horizontal="center" vertical="center" wrapText="1"/>
    </xf>
    <xf numFmtId="0" fontId="3" fillId="0" borderId="177" xfId="0" applyFont="1" applyBorder="1" applyAlignment="1">
      <alignment horizontal="center" vertical="center" wrapText="1"/>
    </xf>
    <xf numFmtId="0" fontId="3" fillId="0" borderId="178" xfId="0" applyFont="1" applyBorder="1" applyAlignment="1">
      <alignment horizontal="center" vertical="center" wrapText="1"/>
    </xf>
    <xf numFmtId="0" fontId="3" fillId="0" borderId="161" xfId="0" applyFont="1" applyBorder="1" applyAlignment="1">
      <alignment horizontal="center"/>
    </xf>
    <xf numFmtId="0" fontId="3" fillId="0" borderId="162" xfId="0" applyFont="1" applyBorder="1" applyAlignment="1">
      <alignment horizontal="center"/>
    </xf>
    <xf numFmtId="0" fontId="4" fillId="0" borderId="107" xfId="0" applyFont="1" applyBorder="1" applyAlignment="1">
      <alignment horizontal="center" vertical="center" wrapText="1"/>
    </xf>
    <xf numFmtId="0" fontId="4" fillId="0" borderId="155" xfId="0" applyFont="1" applyBorder="1" applyAlignment="1">
      <alignment horizontal="center" vertical="center" wrapText="1"/>
    </xf>
    <xf numFmtId="0" fontId="4" fillId="0" borderId="10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8" fillId="0" borderId="43" xfId="0" applyFont="1" applyBorder="1" applyAlignment="1">
      <alignment horizontal="center"/>
    </xf>
    <xf numFmtId="0" fontId="61" fillId="0" borderId="153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5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8" fillId="0" borderId="107" xfId="0" applyFont="1" applyBorder="1" applyAlignment="1">
      <alignment horizontal="center" vertical="top" wrapText="1"/>
    </xf>
    <xf numFmtId="0" fontId="61" fillId="0" borderId="22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3" fontId="4" fillId="0" borderId="83" xfId="0" applyNumberFormat="1" applyFont="1" applyBorder="1" applyAlignment="1">
      <alignment horizontal="center"/>
    </xf>
    <xf numFmtId="3" fontId="4" fillId="0" borderId="99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" fontId="26" fillId="0" borderId="0" xfId="0" applyNumberFormat="1" applyFont="1" applyAlignment="1">
      <alignment wrapText="1"/>
    </xf>
    <xf numFmtId="0" fontId="64" fillId="0" borderId="0" xfId="0" applyFont="1" applyAlignment="1">
      <alignment/>
    </xf>
    <xf numFmtId="0" fontId="14" fillId="0" borderId="18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43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11" fillId="0" borderId="100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14" fillId="0" borderId="106" xfId="0" applyFont="1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 wrapText="1"/>
    </xf>
    <xf numFmtId="4" fontId="14" fillId="0" borderId="107" xfId="0" applyNumberFormat="1" applyFont="1" applyBorder="1" applyAlignment="1">
      <alignment horizontal="center" wrapText="1"/>
    </xf>
    <xf numFmtId="4" fontId="63" fillId="0" borderId="22" xfId="0" applyNumberFormat="1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63" fillId="0" borderId="100" xfId="0" applyFont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63" fillId="0" borderId="108" xfId="0" applyNumberFormat="1" applyFont="1" applyBorder="1" applyAlignment="1">
      <alignment horizontal="center"/>
    </xf>
    <xf numFmtId="0" fontId="14" fillId="0" borderId="105" xfId="0" applyFont="1" applyBorder="1" applyAlignment="1">
      <alignment horizontal="center" vertical="center" wrapText="1"/>
    </xf>
    <xf numFmtId="0" fontId="11" fillId="0" borderId="175" xfId="0" applyFont="1" applyBorder="1" applyAlignment="1">
      <alignment/>
    </xf>
    <xf numFmtId="0" fontId="11" fillId="0" borderId="28" xfId="0" applyFont="1" applyBorder="1" applyAlignment="1">
      <alignment/>
    </xf>
    <xf numFmtId="3" fontId="14" fillId="0" borderId="18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/>
    </xf>
    <xf numFmtId="0" fontId="9" fillId="0" borderId="12" xfId="0" applyFont="1" applyBorder="1" applyAlignment="1">
      <alignment wrapText="1"/>
    </xf>
    <xf numFmtId="0" fontId="14" fillId="0" borderId="6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52" fillId="0" borderId="179" xfId="0" applyFont="1" applyBorder="1" applyAlignment="1">
      <alignment horizontal="center" vertical="center" wrapText="1"/>
    </xf>
    <xf numFmtId="0" fontId="52" fillId="0" borderId="18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2" fillId="0" borderId="181" xfId="0" applyFont="1" applyBorder="1" applyAlignment="1">
      <alignment horizontal="center" vertical="center" wrapText="1"/>
    </xf>
    <xf numFmtId="0" fontId="52" fillId="0" borderId="182" xfId="0" applyFont="1" applyBorder="1" applyAlignment="1">
      <alignment horizontal="center" vertical="center" wrapText="1"/>
    </xf>
    <xf numFmtId="0" fontId="52" fillId="0" borderId="183" xfId="0" applyFont="1" applyBorder="1" applyAlignment="1">
      <alignment horizontal="center" vertical="center" wrapText="1"/>
    </xf>
    <xf numFmtId="0" fontId="52" fillId="0" borderId="39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184" xfId="0" applyFont="1" applyBorder="1" applyAlignment="1">
      <alignment horizontal="center" vertical="center" wrapText="1"/>
    </xf>
    <xf numFmtId="0" fontId="52" fillId="0" borderId="185" xfId="0" applyFont="1" applyBorder="1" applyAlignment="1">
      <alignment horizontal="center" vertical="center" wrapText="1"/>
    </xf>
    <xf numFmtId="0" fontId="52" fillId="0" borderId="186" xfId="0" applyFont="1" applyBorder="1" applyAlignment="1">
      <alignment horizontal="center" vertical="center"/>
    </xf>
    <xf numFmtId="0" fontId="53" fillId="0" borderId="86" xfId="0" applyFont="1" applyBorder="1" applyAlignment="1">
      <alignment horizontal="center"/>
    </xf>
    <xf numFmtId="0" fontId="53" fillId="0" borderId="187" xfId="0" applyFont="1" applyBorder="1" applyAlignment="1">
      <alignment horizontal="center"/>
    </xf>
    <xf numFmtId="0" fontId="52" fillId="0" borderId="188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/>
    </xf>
    <xf numFmtId="0" fontId="53" fillId="0" borderId="41" xfId="0" applyFont="1" applyBorder="1" applyAlignment="1">
      <alignment horizontal="center"/>
    </xf>
    <xf numFmtId="0" fontId="52" fillId="0" borderId="88" xfId="0" applyFont="1" applyBorder="1" applyAlignment="1">
      <alignment horizontal="center" vertical="center"/>
    </xf>
    <xf numFmtId="0" fontId="53" fillId="0" borderId="81" xfId="0" applyFont="1" applyBorder="1" applyAlignment="1">
      <alignment horizontal="center"/>
    </xf>
    <xf numFmtId="0" fontId="53" fillId="0" borderId="189" xfId="0" applyFont="1" applyBorder="1" applyAlignment="1">
      <alignment horizontal="center"/>
    </xf>
    <xf numFmtId="0" fontId="52" fillId="0" borderId="86" xfId="0" applyFont="1" applyBorder="1" applyAlignment="1">
      <alignment horizontal="center" vertical="center"/>
    </xf>
    <xf numFmtId="0" fontId="52" fillId="0" borderId="187" xfId="0" applyFont="1" applyBorder="1" applyAlignment="1">
      <alignment horizontal="center" vertical="center"/>
    </xf>
    <xf numFmtId="0" fontId="52" fillId="0" borderId="190" xfId="0" applyFont="1" applyBorder="1" applyAlignment="1">
      <alignment horizontal="center" vertical="center"/>
    </xf>
    <xf numFmtId="0" fontId="53" fillId="0" borderId="2" xfId="0" applyFont="1" applyBorder="1" applyAlignment="1">
      <alignment horizontal="center"/>
    </xf>
    <xf numFmtId="0" fontId="53" fillId="0" borderId="5" xfId="0" applyFont="1" applyBorder="1" applyAlignment="1">
      <alignment horizontal="center"/>
    </xf>
    <xf numFmtId="0" fontId="52" fillId="0" borderId="81" xfId="0" applyFont="1" applyBorder="1" applyAlignment="1">
      <alignment horizontal="center" vertical="center" wrapText="1"/>
    </xf>
    <xf numFmtId="0" fontId="52" fillId="0" borderId="189" xfId="0" applyFont="1" applyBorder="1" applyAlignment="1">
      <alignment horizontal="center" vertical="center" wrapText="1"/>
    </xf>
    <xf numFmtId="0" fontId="52" fillId="0" borderId="86" xfId="0" applyFont="1" applyBorder="1" applyAlignment="1">
      <alignment horizontal="center" vertical="center" wrapText="1"/>
    </xf>
    <xf numFmtId="0" fontId="52" fillId="0" borderId="187" xfId="0" applyFont="1" applyBorder="1" applyAlignment="1">
      <alignment horizontal="center" vertical="center" wrapText="1"/>
    </xf>
    <xf numFmtId="0" fontId="52" fillId="0" borderId="191" xfId="0" applyFont="1" applyBorder="1" applyAlignment="1">
      <alignment horizontal="center" vertical="center"/>
    </xf>
    <xf numFmtId="0" fontId="56" fillId="0" borderId="192" xfId="0" applyFont="1" applyBorder="1" applyAlignment="1">
      <alignment horizontal="center" vertical="center"/>
    </xf>
    <xf numFmtId="0" fontId="56" fillId="0" borderId="193" xfId="0" applyFont="1" applyBorder="1" applyAlignment="1">
      <alignment horizontal="center" vertical="center"/>
    </xf>
    <xf numFmtId="0" fontId="52" fillId="0" borderId="194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wrapText="1"/>
    </xf>
    <xf numFmtId="0" fontId="53" fillId="0" borderId="30" xfId="0" applyFont="1" applyBorder="1" applyAlignment="1">
      <alignment horizontal="center" wrapText="1"/>
    </xf>
    <xf numFmtId="0" fontId="53" fillId="0" borderId="35" xfId="0" applyFont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2" fillId="0" borderId="195" xfId="0" applyFont="1" applyBorder="1" applyAlignment="1">
      <alignment horizontal="center" textRotation="90"/>
    </xf>
    <xf numFmtId="0" fontId="52" fillId="0" borderId="196" xfId="0" applyFont="1" applyBorder="1" applyAlignment="1">
      <alignment horizontal="center" textRotation="90"/>
    </xf>
    <xf numFmtId="0" fontId="53" fillId="0" borderId="197" xfId="0" applyFont="1" applyBorder="1" applyAlignment="1">
      <alignment horizontal="center"/>
    </xf>
    <xf numFmtId="0" fontId="22" fillId="0" borderId="183" xfId="0" applyFont="1" applyBorder="1" applyAlignment="1">
      <alignment horizontal="center" textRotation="90"/>
    </xf>
    <xf numFmtId="0" fontId="55" fillId="0" borderId="39" xfId="0" applyFont="1" applyBorder="1" applyAlignment="1">
      <alignment horizontal="center"/>
    </xf>
    <xf numFmtId="0" fontId="55" fillId="0" borderId="41" xfId="0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Hyperlink" xfId="17"/>
    <cellStyle name="Followed Hyperlink" xfId="18"/>
    <cellStyle name="Normál 5" xfId="19"/>
    <cellStyle name="Normál_9702KV1" xfId="20"/>
    <cellStyle name="Normál_KTGVET98" xfId="21"/>
    <cellStyle name="Normál_Munka1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zoomScaleSheetLayoutView="100" workbookViewId="0" topLeftCell="G40">
      <selection activeCell="L46" sqref="L46"/>
    </sheetView>
  </sheetViews>
  <sheetFormatPr defaultColWidth="9.00390625" defaultRowHeight="12.75"/>
  <cols>
    <col min="1" max="1" width="6.125" style="4" customWidth="1"/>
    <col min="2" max="2" width="51.125" style="4" customWidth="1"/>
    <col min="3" max="3" width="0.6171875" style="4" hidden="1" customWidth="1"/>
    <col min="4" max="4" width="11.625" style="4" customWidth="1"/>
    <col min="5" max="6" width="13.75390625" style="4" customWidth="1"/>
    <col min="7" max="7" width="13.25390625" style="4" customWidth="1"/>
    <col min="8" max="8" width="63.25390625" style="4" customWidth="1"/>
    <col min="9" max="9" width="11.375" style="4" customWidth="1"/>
    <col min="10" max="10" width="13.75390625" style="4" customWidth="1"/>
    <col min="11" max="11" width="13.25390625" style="4" customWidth="1"/>
    <col min="12" max="12" width="13.375" style="4" customWidth="1"/>
    <col min="13" max="16384" width="9.125" style="4" customWidth="1"/>
  </cols>
  <sheetData>
    <row r="1" ht="12.75">
      <c r="A1" s="4" t="s">
        <v>531</v>
      </c>
    </row>
    <row r="2" spans="1:12" ht="12.75">
      <c r="A2" s="1088" t="s">
        <v>67</v>
      </c>
      <c r="B2" s="1088"/>
      <c r="C2" s="1088"/>
      <c r="D2" s="1088"/>
      <c r="E2" s="1088"/>
      <c r="F2" s="1088"/>
      <c r="G2" s="1088"/>
      <c r="H2" s="1088"/>
      <c r="I2" s="1083"/>
      <c r="J2" s="1083"/>
      <c r="K2" s="1083"/>
      <c r="L2" s="194"/>
    </row>
    <row r="3" spans="3:8" ht="13.5" thickBot="1">
      <c r="C3" s="9"/>
      <c r="D3" s="9"/>
      <c r="E3" s="9"/>
      <c r="F3" s="9"/>
      <c r="G3" s="9"/>
      <c r="H3" s="9"/>
    </row>
    <row r="4" spans="1:12" ht="13.5" customHeight="1" thickTop="1">
      <c r="A4" s="1076" t="s">
        <v>1298</v>
      </c>
      <c r="B4" s="1077"/>
      <c r="C4" s="1077"/>
      <c r="D4" s="1077"/>
      <c r="E4" s="1077"/>
      <c r="F4" s="1077"/>
      <c r="G4" s="1078"/>
      <c r="H4" s="1085" t="s">
        <v>1299</v>
      </c>
      <c r="I4" s="1086"/>
      <c r="J4" s="1086"/>
      <c r="K4" s="1086"/>
      <c r="L4" s="1087"/>
    </row>
    <row r="5" spans="1:12" ht="14.25" customHeight="1" thickBot="1">
      <c r="A5" s="320"/>
      <c r="B5" s="321"/>
      <c r="C5" s="322"/>
      <c r="D5" s="323" t="s">
        <v>512</v>
      </c>
      <c r="E5" s="323" t="s">
        <v>903</v>
      </c>
      <c r="F5" s="323" t="s">
        <v>386</v>
      </c>
      <c r="G5" s="323" t="s">
        <v>1281</v>
      </c>
      <c r="H5" s="384"/>
      <c r="I5" s="324" t="s">
        <v>516</v>
      </c>
      <c r="J5" s="470" t="s">
        <v>903</v>
      </c>
      <c r="K5" s="1001" t="s">
        <v>386</v>
      </c>
      <c r="L5" s="1006" t="s">
        <v>1281</v>
      </c>
    </row>
    <row r="6" spans="1:12" ht="13.5" customHeight="1" thickTop="1">
      <c r="A6" s="325" t="s">
        <v>1300</v>
      </c>
      <c r="B6" s="326"/>
      <c r="C6" s="327"/>
      <c r="D6" s="328">
        <f>SUM(D7:D8)</f>
        <v>420244</v>
      </c>
      <c r="E6" s="329">
        <f>SUM(E7:E8)</f>
        <v>543474</v>
      </c>
      <c r="F6" s="329">
        <f>SUM(F7:F8)</f>
        <v>573378</v>
      </c>
      <c r="G6" s="999">
        <f>F6/E6*100</f>
        <v>105.50237913865246</v>
      </c>
      <c r="H6" s="330" t="s">
        <v>1287</v>
      </c>
      <c r="I6" s="331">
        <v>1727161</v>
      </c>
      <c r="J6" s="510">
        <v>1857728</v>
      </c>
      <c r="K6" s="1002">
        <v>1822701</v>
      </c>
      <c r="L6" s="1013">
        <f>K6/J6*100</f>
        <v>98.11452483894305</v>
      </c>
    </row>
    <row r="7" spans="1:12" ht="12.75" customHeight="1" thickBot="1">
      <c r="A7" s="333" t="s">
        <v>1301</v>
      </c>
      <c r="B7" s="334"/>
      <c r="C7" s="322"/>
      <c r="D7" s="335">
        <v>128235</v>
      </c>
      <c r="E7" s="335">
        <v>155184</v>
      </c>
      <c r="F7" s="335">
        <v>167529</v>
      </c>
      <c r="G7" s="999">
        <f aca="true" t="shared" si="0" ref="G7:G59">F7/E7*100</f>
        <v>107.95507268790597</v>
      </c>
      <c r="H7" s="336"/>
      <c r="I7" s="243"/>
      <c r="J7" s="511"/>
      <c r="K7" s="1"/>
      <c r="L7" s="1013"/>
    </row>
    <row r="8" spans="1:12" ht="13.5" thickTop="1">
      <c r="A8" s="333" t="s">
        <v>1302</v>
      </c>
      <c r="B8" s="334"/>
      <c r="C8" s="337" t="s">
        <v>1323</v>
      </c>
      <c r="D8" s="338">
        <v>292009</v>
      </c>
      <c r="E8" s="338">
        <v>388290</v>
      </c>
      <c r="F8" s="338">
        <v>405849</v>
      </c>
      <c r="G8" s="999">
        <f t="shared" si="0"/>
        <v>104.52213551726801</v>
      </c>
      <c r="H8" s="336" t="s">
        <v>1018</v>
      </c>
      <c r="I8" s="339">
        <v>545537</v>
      </c>
      <c r="J8" s="209">
        <v>557735</v>
      </c>
      <c r="K8" s="332">
        <v>542102</v>
      </c>
      <c r="L8" s="1013">
        <f aca="true" t="shared" si="1" ref="L8:L50">K8/J8*100</f>
        <v>97.19705594951007</v>
      </c>
    </row>
    <row r="9" spans="1:12" ht="12.75">
      <c r="A9" s="333"/>
      <c r="B9" s="334"/>
      <c r="C9" s="337"/>
      <c r="D9" s="338"/>
      <c r="E9" s="338"/>
      <c r="F9" s="338"/>
      <c r="G9" s="999"/>
      <c r="H9" s="336"/>
      <c r="I9" s="243"/>
      <c r="J9" s="204"/>
      <c r="K9" s="340"/>
      <c r="L9" s="1013"/>
    </row>
    <row r="10" spans="1:12" ht="12.75">
      <c r="A10" s="341" t="s">
        <v>1303</v>
      </c>
      <c r="B10" s="262"/>
      <c r="C10" s="340" t="s">
        <v>1009</v>
      </c>
      <c r="D10" s="342">
        <f>SUM(D11:D18)</f>
        <v>1982922</v>
      </c>
      <c r="E10" s="207">
        <f>SUM(E11:E18)</f>
        <v>1990862</v>
      </c>
      <c r="F10" s="207">
        <f>SUM(F11:F18)</f>
        <v>2011257</v>
      </c>
      <c r="G10" s="999">
        <f t="shared" si="0"/>
        <v>101.02443062351887</v>
      </c>
      <c r="H10" s="336" t="s">
        <v>391</v>
      </c>
      <c r="I10" s="339">
        <v>1347910</v>
      </c>
      <c r="J10" s="209">
        <v>1564799</v>
      </c>
      <c r="K10" s="332">
        <v>1481715</v>
      </c>
      <c r="L10" s="1013">
        <f t="shared" si="1"/>
        <v>94.69043627967554</v>
      </c>
    </row>
    <row r="11" spans="1:12" ht="12.75">
      <c r="A11" s="343" t="s">
        <v>1304</v>
      </c>
      <c r="B11" s="262"/>
      <c r="C11" s="340" t="s">
        <v>1010</v>
      </c>
      <c r="D11" s="344">
        <v>1179400</v>
      </c>
      <c r="E11" s="344">
        <v>1192711</v>
      </c>
      <c r="F11" s="344">
        <v>1246572</v>
      </c>
      <c r="G11" s="999">
        <f t="shared" si="0"/>
        <v>104.51584667199347</v>
      </c>
      <c r="H11" s="336"/>
      <c r="I11" s="243"/>
      <c r="J11" s="204"/>
      <c r="K11" s="340"/>
      <c r="L11" s="1013"/>
    </row>
    <row r="12" spans="1:12" ht="12.75">
      <c r="A12" s="343" t="s">
        <v>1305</v>
      </c>
      <c r="B12" s="345"/>
      <c r="C12" s="340"/>
      <c r="D12" s="344"/>
      <c r="E12" s="344"/>
      <c r="F12" s="344"/>
      <c r="G12" s="999"/>
      <c r="H12" s="336" t="s">
        <v>1019</v>
      </c>
      <c r="I12" s="339">
        <f>SUM(I13:I14)</f>
        <v>415973</v>
      </c>
      <c r="J12" s="209">
        <f>SUM(J13:J14)</f>
        <v>994025</v>
      </c>
      <c r="K12" s="332">
        <f>SUM(K13:K14)</f>
        <v>853232</v>
      </c>
      <c r="L12" s="1013">
        <f t="shared" si="1"/>
        <v>85.83607052136516</v>
      </c>
    </row>
    <row r="13" spans="1:12" ht="12.75">
      <c r="A13" s="341"/>
      <c r="B13" s="262" t="s">
        <v>1306</v>
      </c>
      <c r="C13" s="340" t="s">
        <v>1011</v>
      </c>
      <c r="D13" s="344">
        <v>426533</v>
      </c>
      <c r="E13" s="344">
        <v>426553</v>
      </c>
      <c r="F13" s="344">
        <v>426553</v>
      </c>
      <c r="G13" s="999">
        <f t="shared" si="0"/>
        <v>100</v>
      </c>
      <c r="H13" s="262" t="s">
        <v>1291</v>
      </c>
      <c r="I13" s="243">
        <v>218870</v>
      </c>
      <c r="J13" s="204">
        <v>299233</v>
      </c>
      <c r="K13" s="340">
        <v>287926</v>
      </c>
      <c r="L13" s="1013">
        <f t="shared" si="1"/>
        <v>96.22133922394923</v>
      </c>
    </row>
    <row r="14" spans="1:12" ht="15" customHeight="1">
      <c r="A14" s="341"/>
      <c r="B14" s="262" t="s">
        <v>1307</v>
      </c>
      <c r="C14" s="346" t="s">
        <v>1012</v>
      </c>
      <c r="D14" s="347"/>
      <c r="E14" s="347"/>
      <c r="F14" s="347"/>
      <c r="G14" s="999"/>
      <c r="H14" s="262" t="s">
        <v>1292</v>
      </c>
      <c r="I14" s="243">
        <v>197103</v>
      </c>
      <c r="J14" s="204">
        <v>694792</v>
      </c>
      <c r="K14" s="340">
        <v>565306</v>
      </c>
      <c r="L14" s="1013">
        <f t="shared" si="1"/>
        <v>81.36334327395825</v>
      </c>
    </row>
    <row r="15" spans="1:12" ht="12.75">
      <c r="A15" s="341"/>
      <c r="B15" s="262" t="s">
        <v>1308</v>
      </c>
      <c r="C15" s="340" t="s">
        <v>1013</v>
      </c>
      <c r="D15" s="344">
        <v>275000</v>
      </c>
      <c r="E15" s="344">
        <v>275390</v>
      </c>
      <c r="F15" s="344">
        <v>241713</v>
      </c>
      <c r="G15" s="999">
        <f t="shared" si="0"/>
        <v>87.77116089908856</v>
      </c>
      <c r="H15" s="262"/>
      <c r="I15" s="243"/>
      <c r="J15" s="204"/>
      <c r="K15" s="340"/>
      <c r="L15" s="1013"/>
    </row>
    <row r="16" spans="1:12" ht="12.75">
      <c r="A16" s="341" t="s">
        <v>1309</v>
      </c>
      <c r="B16" s="262"/>
      <c r="C16" s="340"/>
      <c r="D16" s="348">
        <v>400</v>
      </c>
      <c r="E16" s="348">
        <v>400</v>
      </c>
      <c r="F16" s="348">
        <v>88</v>
      </c>
      <c r="G16" s="999">
        <f t="shared" si="0"/>
        <v>22</v>
      </c>
      <c r="H16" s="336" t="s">
        <v>1020</v>
      </c>
      <c r="I16" s="339">
        <v>159000</v>
      </c>
      <c r="J16" s="209">
        <v>151671</v>
      </c>
      <c r="K16" s="332">
        <v>146032</v>
      </c>
      <c r="L16" s="1013">
        <f t="shared" si="1"/>
        <v>96.28208424814237</v>
      </c>
    </row>
    <row r="17" spans="1:12" ht="12.75">
      <c r="A17" s="350" t="s">
        <v>203</v>
      </c>
      <c r="B17" s="319"/>
      <c r="C17" s="340" t="s">
        <v>1014</v>
      </c>
      <c r="D17" s="344">
        <v>3200</v>
      </c>
      <c r="E17" s="344">
        <v>3377</v>
      </c>
      <c r="F17" s="344">
        <v>4150</v>
      </c>
      <c r="G17" s="999">
        <f t="shared" si="0"/>
        <v>122.89013917678413</v>
      </c>
      <c r="H17" s="336"/>
      <c r="I17" s="339"/>
      <c r="J17" s="204"/>
      <c r="K17" s="340"/>
      <c r="L17" s="1013"/>
    </row>
    <row r="18" spans="1:12" ht="12.75">
      <c r="A18" s="341" t="s">
        <v>530</v>
      </c>
      <c r="B18" s="262"/>
      <c r="C18" s="1"/>
      <c r="D18" s="344">
        <v>98389</v>
      </c>
      <c r="E18" s="344">
        <v>92431</v>
      </c>
      <c r="F18" s="344">
        <v>92181</v>
      </c>
      <c r="G18" s="999">
        <f t="shared" si="0"/>
        <v>99.72952797221711</v>
      </c>
      <c r="H18" s="336" t="s">
        <v>1021</v>
      </c>
      <c r="I18" s="339">
        <v>8883</v>
      </c>
      <c r="J18" s="209">
        <v>8529</v>
      </c>
      <c r="K18" s="332">
        <v>8529</v>
      </c>
      <c r="L18" s="1013">
        <f t="shared" si="1"/>
        <v>100</v>
      </c>
    </row>
    <row r="19" spans="1:12" ht="12.75">
      <c r="A19" s="1080" t="s">
        <v>1310</v>
      </c>
      <c r="B19" s="1081"/>
      <c r="C19" s="1"/>
      <c r="D19" s="353">
        <f>SUM(D6+D10)</f>
        <v>2403166</v>
      </c>
      <c r="E19" s="209">
        <f>SUM(E6+E10)</f>
        <v>2534336</v>
      </c>
      <c r="F19" s="209">
        <f>SUM(F6+F10)</f>
        <v>2584635</v>
      </c>
      <c r="G19" s="999">
        <f t="shared" si="0"/>
        <v>101.98470131821512</v>
      </c>
      <c r="H19" s="336"/>
      <c r="I19" s="243"/>
      <c r="J19" s="511"/>
      <c r="K19" s="1"/>
      <c r="L19" s="1013"/>
    </row>
    <row r="20" spans="1:12" ht="12.75">
      <c r="A20" s="351"/>
      <c r="B20" s="352"/>
      <c r="C20" s="1"/>
      <c r="D20" s="353"/>
      <c r="E20" s="353"/>
      <c r="F20" s="353"/>
      <c r="G20" s="999"/>
      <c r="H20" s="336" t="s">
        <v>1311</v>
      </c>
      <c r="I20" s="339">
        <v>1090889</v>
      </c>
      <c r="J20" s="209">
        <v>1825234</v>
      </c>
      <c r="K20" s="332">
        <v>587111</v>
      </c>
      <c r="L20" s="1013">
        <f t="shared" si="1"/>
        <v>32.166341411566954</v>
      </c>
    </row>
    <row r="21" spans="1:12" ht="12.75">
      <c r="A21" s="350" t="s">
        <v>47</v>
      </c>
      <c r="B21" s="352"/>
      <c r="C21" s="1"/>
      <c r="D21" s="354"/>
      <c r="E21" s="348">
        <v>1614</v>
      </c>
      <c r="F21" s="348">
        <v>1614</v>
      </c>
      <c r="G21" s="999">
        <f t="shared" si="0"/>
        <v>100</v>
      </c>
      <c r="H21" s="336"/>
      <c r="I21" s="339"/>
      <c r="J21" s="209"/>
      <c r="K21" s="332"/>
      <c r="L21" s="1013"/>
    </row>
    <row r="22" spans="1:12" ht="12.75">
      <c r="A22" s="350" t="s">
        <v>1312</v>
      </c>
      <c r="B22" s="319"/>
      <c r="C22" s="332" t="s">
        <v>1296</v>
      </c>
      <c r="D22" s="344">
        <v>286000</v>
      </c>
      <c r="E22" s="344">
        <v>286000</v>
      </c>
      <c r="F22" s="344">
        <v>184895</v>
      </c>
      <c r="G22" s="999">
        <f t="shared" si="0"/>
        <v>64.6486013986014</v>
      </c>
      <c r="H22" s="336" t="s">
        <v>1330</v>
      </c>
      <c r="I22" s="339">
        <v>224756</v>
      </c>
      <c r="J22" s="209">
        <v>452459</v>
      </c>
      <c r="K22" s="332">
        <v>207041</v>
      </c>
      <c r="L22" s="1013">
        <f t="shared" si="1"/>
        <v>45.759063252139974</v>
      </c>
    </row>
    <row r="23" spans="1:12" ht="12.75">
      <c r="A23" s="355" t="s">
        <v>1002</v>
      </c>
      <c r="B23" s="356"/>
      <c r="C23" s="332" t="s">
        <v>1313</v>
      </c>
      <c r="D23" s="348">
        <v>6000</v>
      </c>
      <c r="E23" s="348">
        <v>6000</v>
      </c>
      <c r="F23" s="348">
        <v>3777</v>
      </c>
      <c r="G23" s="999">
        <f t="shared" si="0"/>
        <v>62.949999999999996</v>
      </c>
      <c r="H23" s="336"/>
      <c r="I23" s="243"/>
      <c r="J23" s="204"/>
      <c r="K23" s="340"/>
      <c r="L23" s="1013"/>
    </row>
    <row r="24" spans="1:12" ht="12.75">
      <c r="A24" s="355" t="s">
        <v>233</v>
      </c>
      <c r="B24" s="356"/>
      <c r="C24" s="332" t="s">
        <v>1015</v>
      </c>
      <c r="D24" s="344">
        <v>8000</v>
      </c>
      <c r="E24" s="344"/>
      <c r="F24" s="344"/>
      <c r="G24" s="999"/>
      <c r="H24" s="336" t="s">
        <v>1290</v>
      </c>
      <c r="I24" s="339">
        <v>133031</v>
      </c>
      <c r="J24" s="209">
        <v>87857</v>
      </c>
      <c r="K24" s="332">
        <v>71853</v>
      </c>
      <c r="L24" s="1013">
        <f t="shared" si="1"/>
        <v>81.78403542119581</v>
      </c>
    </row>
    <row r="25" spans="1:12" ht="12.75">
      <c r="A25" s="341" t="s">
        <v>1314</v>
      </c>
      <c r="B25" s="262"/>
      <c r="C25" s="7"/>
      <c r="D25" s="344">
        <v>43631</v>
      </c>
      <c r="E25" s="344">
        <v>5631</v>
      </c>
      <c r="F25" s="344">
        <v>5631</v>
      </c>
      <c r="G25" s="999">
        <f t="shared" si="0"/>
        <v>100</v>
      </c>
      <c r="H25" s="336"/>
      <c r="I25" s="339"/>
      <c r="J25" s="209"/>
      <c r="K25" s="332"/>
      <c r="L25" s="1013"/>
    </row>
    <row r="26" spans="1:12" ht="12.75">
      <c r="A26" s="333" t="s">
        <v>1078</v>
      </c>
      <c r="B26" s="334"/>
      <c r="C26" s="7"/>
      <c r="D26" s="344">
        <v>11720</v>
      </c>
      <c r="E26" s="344">
        <v>20820</v>
      </c>
      <c r="F26" s="344">
        <v>19334</v>
      </c>
      <c r="G26" s="999">
        <f t="shared" si="0"/>
        <v>92.8626320845341</v>
      </c>
      <c r="H26" s="336" t="s">
        <v>1068</v>
      </c>
      <c r="I26" s="339">
        <f>SUM(I27:I30)</f>
        <v>8500</v>
      </c>
      <c r="J26" s="357">
        <f>SUM(J27:J30)</f>
        <v>40500</v>
      </c>
      <c r="K26" s="1003">
        <f>SUM(K27:K30)</f>
        <v>13484</v>
      </c>
      <c r="L26" s="1013">
        <f t="shared" si="1"/>
        <v>33.29382716049383</v>
      </c>
    </row>
    <row r="27" spans="1:12" ht="14.25" customHeight="1">
      <c r="A27" s="1084" t="s">
        <v>194</v>
      </c>
      <c r="B27" s="1079"/>
      <c r="C27" s="7"/>
      <c r="D27" s="344">
        <v>2200000</v>
      </c>
      <c r="E27" s="344"/>
      <c r="F27" s="344"/>
      <c r="G27" s="999"/>
      <c r="H27" s="262" t="s">
        <v>458</v>
      </c>
      <c r="I27" s="243">
        <v>8500</v>
      </c>
      <c r="J27" s="204">
        <v>8500</v>
      </c>
      <c r="K27" s="340">
        <v>3650</v>
      </c>
      <c r="L27" s="1013">
        <f t="shared" si="1"/>
        <v>42.94117647058823</v>
      </c>
    </row>
    <row r="28" spans="1:12" ht="14.25" customHeight="1">
      <c r="A28" s="1082" t="s">
        <v>1316</v>
      </c>
      <c r="B28" s="1073"/>
      <c r="C28" s="7"/>
      <c r="D28" s="354">
        <f>SUM(D21:D27)</f>
        <v>2555351</v>
      </c>
      <c r="E28" s="354">
        <f>SUM(E21:E27)</f>
        <v>320065</v>
      </c>
      <c r="F28" s="354">
        <f>SUM(F21:F27)</f>
        <v>215251</v>
      </c>
      <c r="G28" s="999">
        <f t="shared" si="0"/>
        <v>67.2522768812585</v>
      </c>
      <c r="H28" s="262" t="s">
        <v>1045</v>
      </c>
      <c r="I28" s="243"/>
      <c r="J28" s="204">
        <v>2000</v>
      </c>
      <c r="K28" s="340">
        <v>2000</v>
      </c>
      <c r="L28" s="1013">
        <f t="shared" si="1"/>
        <v>100</v>
      </c>
    </row>
    <row r="29" spans="1:12" ht="12.75" customHeight="1">
      <c r="A29" s="1084"/>
      <c r="B29" s="1079"/>
      <c r="C29" s="7"/>
      <c r="D29" s="344"/>
      <c r="E29" s="344"/>
      <c r="F29" s="344"/>
      <c r="G29" s="999"/>
      <c r="H29" s="345" t="s">
        <v>1046</v>
      </c>
      <c r="I29" s="339"/>
      <c r="J29" s="360">
        <v>5000</v>
      </c>
      <c r="K29" s="1004">
        <v>5000</v>
      </c>
      <c r="L29" s="1013">
        <f t="shared" si="1"/>
        <v>100</v>
      </c>
    </row>
    <row r="30" spans="1:12" ht="12.75" customHeight="1">
      <c r="A30" s="359" t="s">
        <v>1317</v>
      </c>
      <c r="B30" s="319"/>
      <c r="C30" s="7"/>
      <c r="D30" s="344">
        <v>1009304</v>
      </c>
      <c r="E30" s="344">
        <v>979945</v>
      </c>
      <c r="F30" s="344">
        <v>979945</v>
      </c>
      <c r="G30" s="999">
        <f t="shared" si="0"/>
        <v>100</v>
      </c>
      <c r="H30" s="345" t="s">
        <v>1047</v>
      </c>
      <c r="I30" s="339"/>
      <c r="J30" s="360">
        <v>25000</v>
      </c>
      <c r="K30" s="1004">
        <v>2834</v>
      </c>
      <c r="L30" s="1013">
        <f t="shared" si="1"/>
        <v>11.336</v>
      </c>
    </row>
    <row r="31" spans="1:12" ht="12.75" customHeight="1">
      <c r="A31" s="350" t="s">
        <v>536</v>
      </c>
      <c r="B31" s="319"/>
      <c r="C31" s="7"/>
      <c r="D31" s="344">
        <v>1713</v>
      </c>
      <c r="E31" s="344">
        <v>2487</v>
      </c>
      <c r="F31" s="344">
        <v>2487</v>
      </c>
      <c r="G31" s="999">
        <f t="shared" si="0"/>
        <v>100</v>
      </c>
      <c r="H31" s="361"/>
      <c r="I31" s="339"/>
      <c r="J31" s="357"/>
      <c r="K31" s="1003"/>
      <c r="L31" s="1013"/>
    </row>
    <row r="32" spans="1:12" ht="12.75" customHeight="1">
      <c r="A32" s="350" t="s">
        <v>195</v>
      </c>
      <c r="B32" s="319"/>
      <c r="C32" s="358" t="s">
        <v>1016</v>
      </c>
      <c r="D32" s="344">
        <v>87870</v>
      </c>
      <c r="E32" s="344">
        <v>111054</v>
      </c>
      <c r="F32" s="344">
        <v>111054</v>
      </c>
      <c r="G32" s="999">
        <f t="shared" si="0"/>
        <v>100</v>
      </c>
      <c r="H32" s="361" t="s">
        <v>1315</v>
      </c>
      <c r="I32" s="339">
        <f>SUM(I33:I34)</f>
        <v>1470931</v>
      </c>
      <c r="J32" s="357">
        <f>SUM(J33:J34)</f>
        <v>718190</v>
      </c>
      <c r="K32" s="1003">
        <f>SUM(K33:K34)</f>
        <v>0</v>
      </c>
      <c r="L32" s="1013">
        <f t="shared" si="1"/>
        <v>0</v>
      </c>
    </row>
    <row r="33" spans="1:12" ht="12.75" customHeight="1">
      <c r="A33" s="350" t="s">
        <v>515</v>
      </c>
      <c r="B33" s="319"/>
      <c r="C33" s="358"/>
      <c r="D33" s="344"/>
      <c r="E33" s="344">
        <v>87093</v>
      </c>
      <c r="F33" s="344">
        <v>87093</v>
      </c>
      <c r="G33" s="999">
        <f t="shared" si="0"/>
        <v>100</v>
      </c>
      <c r="H33" s="362" t="s">
        <v>204</v>
      </c>
      <c r="I33" s="363">
        <v>8000</v>
      </c>
      <c r="J33" s="204">
        <v>20000</v>
      </c>
      <c r="K33" s="340"/>
      <c r="L33" s="1013">
        <f t="shared" si="1"/>
        <v>0</v>
      </c>
    </row>
    <row r="34" spans="1:12" ht="12.75" customHeight="1">
      <c r="A34" s="1074" t="s">
        <v>1070</v>
      </c>
      <c r="B34" s="1075"/>
      <c r="C34" s="358"/>
      <c r="D34" s="338">
        <v>17601</v>
      </c>
      <c r="E34" s="338">
        <v>17367</v>
      </c>
      <c r="F34" s="338">
        <v>17367</v>
      </c>
      <c r="G34" s="999">
        <f t="shared" si="0"/>
        <v>100</v>
      </c>
      <c r="H34" s="362" t="s">
        <v>205</v>
      </c>
      <c r="I34" s="364">
        <f>SUM(I35:I40)</f>
        <v>1462931</v>
      </c>
      <c r="J34" s="207">
        <f>SUM(J35:J40)</f>
        <v>698190</v>
      </c>
      <c r="K34" s="1005">
        <f>SUM(K35:K40)</f>
        <v>0</v>
      </c>
      <c r="L34" s="1013">
        <f t="shared" si="1"/>
        <v>0</v>
      </c>
    </row>
    <row r="35" spans="1:12" ht="12.75" customHeight="1">
      <c r="A35" s="1074" t="s">
        <v>1044</v>
      </c>
      <c r="B35" s="1069"/>
      <c r="C35" s="358"/>
      <c r="D35" s="338"/>
      <c r="E35" s="338">
        <v>2087</v>
      </c>
      <c r="F35" s="338">
        <v>2087</v>
      </c>
      <c r="G35" s="999">
        <f t="shared" si="0"/>
        <v>100</v>
      </c>
      <c r="H35" s="262" t="s">
        <v>1082</v>
      </c>
      <c r="I35" s="243">
        <v>1200000</v>
      </c>
      <c r="J35" s="204">
        <v>635061</v>
      </c>
      <c r="K35" s="340"/>
      <c r="L35" s="1013">
        <f t="shared" si="1"/>
        <v>0</v>
      </c>
    </row>
    <row r="36" spans="1:12" ht="12.75" customHeight="1">
      <c r="A36" s="1080" t="s">
        <v>1318</v>
      </c>
      <c r="B36" s="1081"/>
      <c r="C36" s="358"/>
      <c r="D36" s="365">
        <f>SUM(D30:D34)</f>
        <v>1116488</v>
      </c>
      <c r="E36" s="366">
        <f>SUM(E30:E35)</f>
        <v>1200033</v>
      </c>
      <c r="F36" s="366">
        <f>SUM(F30:F35)</f>
        <v>1200033</v>
      </c>
      <c r="G36" s="999">
        <f t="shared" si="0"/>
        <v>100</v>
      </c>
      <c r="H36" s="262" t="s">
        <v>978</v>
      </c>
      <c r="I36" s="243">
        <v>50000</v>
      </c>
      <c r="J36" s="204">
        <v>111</v>
      </c>
      <c r="K36" s="340"/>
      <c r="L36" s="1013">
        <f t="shared" si="1"/>
        <v>0</v>
      </c>
    </row>
    <row r="37" spans="1:12" ht="12.75" customHeight="1">
      <c r="A37" s="351"/>
      <c r="B37" s="262"/>
      <c r="C37" s="1"/>
      <c r="D37" s="344"/>
      <c r="E37" s="344"/>
      <c r="F37" s="344"/>
      <c r="G37" s="999"/>
      <c r="H37" s="262" t="s">
        <v>1083</v>
      </c>
      <c r="I37" s="243">
        <v>69575</v>
      </c>
      <c r="J37" s="204">
        <v>27275</v>
      </c>
      <c r="K37" s="340"/>
      <c r="L37" s="1013">
        <f t="shared" si="1"/>
        <v>0</v>
      </c>
    </row>
    <row r="38" spans="1:12" ht="12.75" customHeight="1">
      <c r="A38" s="10" t="s">
        <v>488</v>
      </c>
      <c r="B38" s="262"/>
      <c r="C38" s="349"/>
      <c r="D38" s="338">
        <v>796639</v>
      </c>
      <c r="E38" s="338">
        <v>750982</v>
      </c>
      <c r="F38" s="338">
        <v>750982</v>
      </c>
      <c r="G38" s="999">
        <f t="shared" si="0"/>
        <v>100</v>
      </c>
      <c r="H38" s="262" t="s">
        <v>534</v>
      </c>
      <c r="I38" s="243">
        <v>100000</v>
      </c>
      <c r="J38" s="204">
        <v>35743</v>
      </c>
      <c r="K38" s="340"/>
      <c r="L38" s="1013">
        <f t="shared" si="1"/>
        <v>0</v>
      </c>
    </row>
    <row r="39" spans="1:12" ht="12.75" customHeight="1">
      <c r="A39" s="10" t="s">
        <v>489</v>
      </c>
      <c r="B39" s="345"/>
      <c r="C39" s="349"/>
      <c r="D39" s="338">
        <v>106900</v>
      </c>
      <c r="E39" s="338">
        <v>156966</v>
      </c>
      <c r="F39" s="338">
        <v>143514</v>
      </c>
      <c r="G39" s="999">
        <f t="shared" si="0"/>
        <v>91.42999120828715</v>
      </c>
      <c r="H39" s="262" t="s">
        <v>977</v>
      </c>
      <c r="I39" s="205">
        <v>4800</v>
      </c>
      <c r="J39" s="204"/>
      <c r="K39" s="340"/>
      <c r="L39" s="1013"/>
    </row>
    <row r="40" spans="1:12" ht="12.75" customHeight="1">
      <c r="A40" s="10" t="s">
        <v>490</v>
      </c>
      <c r="B40" s="262"/>
      <c r="C40" s="349"/>
      <c r="D40" s="344">
        <v>20000</v>
      </c>
      <c r="E40" s="344">
        <v>320593</v>
      </c>
      <c r="F40" s="344">
        <v>301344</v>
      </c>
      <c r="G40" s="999">
        <f t="shared" si="0"/>
        <v>93.99581400716797</v>
      </c>
      <c r="H40" s="262" t="s">
        <v>975</v>
      </c>
      <c r="I40" s="243">
        <v>38556</v>
      </c>
      <c r="J40" s="204"/>
      <c r="K40" s="340"/>
      <c r="L40" s="1013"/>
    </row>
    <row r="41" spans="1:12" ht="12.75" customHeight="1">
      <c r="A41" s="367" t="s">
        <v>1079</v>
      </c>
      <c r="B41" s="262"/>
      <c r="C41" s="349"/>
      <c r="D41" s="353">
        <f>SUM(D38:D40)</f>
        <v>923539</v>
      </c>
      <c r="E41" s="209">
        <f>SUM(E38:E40)</f>
        <v>1228541</v>
      </c>
      <c r="F41" s="209">
        <f>SUM(F38:F40)</f>
        <v>1195840</v>
      </c>
      <c r="G41" s="999">
        <f t="shared" si="0"/>
        <v>97.33822477231122</v>
      </c>
      <c r="H41" s="262"/>
      <c r="I41" s="243"/>
      <c r="J41" s="204"/>
      <c r="K41" s="340"/>
      <c r="L41" s="1013"/>
    </row>
    <row r="42" spans="1:12" ht="26.25" customHeight="1">
      <c r="A42" s="367"/>
      <c r="B42" s="262"/>
      <c r="C42" s="349"/>
      <c r="D42" s="365"/>
      <c r="E42" s="365"/>
      <c r="F42" s="365"/>
      <c r="G42" s="999"/>
      <c r="H42" s="438" t="s">
        <v>781</v>
      </c>
      <c r="I42" s="339"/>
      <c r="J42" s="209">
        <v>7511</v>
      </c>
      <c r="K42" s="332">
        <v>3830</v>
      </c>
      <c r="L42" s="1013">
        <f t="shared" si="1"/>
        <v>50.99187857808547</v>
      </c>
    </row>
    <row r="43" spans="1:12" ht="12.75" customHeight="1">
      <c r="A43" s="367" t="s">
        <v>38</v>
      </c>
      <c r="B43" s="361"/>
      <c r="C43" s="349"/>
      <c r="D43" s="365"/>
      <c r="E43" s="365"/>
      <c r="F43" s="365">
        <v>3659</v>
      </c>
      <c r="G43" s="999"/>
      <c r="H43" s="336" t="s">
        <v>459</v>
      </c>
      <c r="I43" s="339"/>
      <c r="J43" s="209"/>
      <c r="K43" s="332">
        <v>10449</v>
      </c>
      <c r="L43" s="1013"/>
    </row>
    <row r="44" spans="1:12" ht="12.75" customHeight="1">
      <c r="A44" s="1070" t="s">
        <v>1319</v>
      </c>
      <c r="B44" s="1075"/>
      <c r="C44" s="349"/>
      <c r="D44" s="353">
        <v>100000</v>
      </c>
      <c r="E44" s="353">
        <v>170501</v>
      </c>
      <c r="F44" s="353">
        <v>181866</v>
      </c>
      <c r="G44" s="999">
        <f t="shared" si="0"/>
        <v>106.6656500548384</v>
      </c>
      <c r="H44" s="336" t="s">
        <v>1297</v>
      </c>
      <c r="I44" s="339">
        <f>SUM(I6+I8+I10+I12+I16+I18+I20+I22+I24+I26+I32+I42+I43)</f>
        <v>7132571</v>
      </c>
      <c r="J44" s="339">
        <f>SUM(J6+J8+J10+J12+J16+J18+J20+J22+J24+J26+J32+J42+J43)</f>
        <v>8266238</v>
      </c>
      <c r="K44" s="339">
        <f>SUM(K6+K8+K10+K12+K16+K18+K20+K22+K24+K26+K32+K42+K43)</f>
        <v>5748079</v>
      </c>
      <c r="L44" s="1013">
        <f t="shared" si="1"/>
        <v>69.53681953023855</v>
      </c>
    </row>
    <row r="45" spans="1:12" ht="12.75" customHeight="1">
      <c r="A45" s="1080" t="s">
        <v>450</v>
      </c>
      <c r="B45" s="1069"/>
      <c r="C45" s="349"/>
      <c r="D45" s="353"/>
      <c r="E45" s="353"/>
      <c r="F45" s="209">
        <v>10449</v>
      </c>
      <c r="G45" s="999"/>
      <c r="H45" s="336"/>
      <c r="I45" s="339"/>
      <c r="J45" s="357"/>
      <c r="K45" s="1003"/>
      <c r="L45" s="1013"/>
    </row>
    <row r="46" spans="1:12" ht="12.75" customHeight="1">
      <c r="A46" s="351"/>
      <c r="B46" s="171"/>
      <c r="C46" s="349"/>
      <c r="D46" s="353"/>
      <c r="E46" s="353"/>
      <c r="F46" s="353"/>
      <c r="G46" s="999"/>
      <c r="H46" s="336" t="s">
        <v>1071</v>
      </c>
      <c r="I46" s="339"/>
      <c r="J46" s="209"/>
      <c r="K46" s="340">
        <v>121520</v>
      </c>
      <c r="L46" s="1013"/>
    </row>
    <row r="47" spans="1:12" ht="27.75" customHeight="1">
      <c r="A47" s="1071" t="s">
        <v>1086</v>
      </c>
      <c r="B47" s="1072"/>
      <c r="C47" s="349"/>
      <c r="D47" s="354">
        <v>52000</v>
      </c>
      <c r="E47" s="354">
        <v>54000</v>
      </c>
      <c r="F47" s="354">
        <v>52034</v>
      </c>
      <c r="G47" s="999">
        <f t="shared" si="0"/>
        <v>96.35925925925926</v>
      </c>
      <c r="H47" s="262" t="s">
        <v>1080</v>
      </c>
      <c r="I47" s="243">
        <v>17973</v>
      </c>
      <c r="J47" s="204">
        <v>14612</v>
      </c>
      <c r="K47" s="340">
        <v>14299</v>
      </c>
      <c r="L47" s="1013">
        <f t="shared" si="1"/>
        <v>97.8579249931563</v>
      </c>
    </row>
    <row r="48" spans="1:12" ht="13.5" customHeight="1">
      <c r="A48" s="318"/>
      <c r="B48" s="368"/>
      <c r="C48" s="349"/>
      <c r="D48" s="353"/>
      <c r="E48" s="353"/>
      <c r="F48" s="353"/>
      <c r="G48" s="999"/>
      <c r="H48" s="336" t="s">
        <v>981</v>
      </c>
      <c r="I48" s="339">
        <f>SUM(I46:I47)</f>
        <v>17973</v>
      </c>
      <c r="J48" s="339">
        <f>SUM(J46:J47)</f>
        <v>14612</v>
      </c>
      <c r="K48" s="339">
        <f>SUM(K46:K47)</f>
        <v>135819</v>
      </c>
      <c r="L48" s="1013">
        <f t="shared" si="1"/>
        <v>929.5031480974542</v>
      </c>
    </row>
    <row r="49" spans="1:12" ht="13.5" customHeight="1">
      <c r="A49" s="1080" t="s">
        <v>1090</v>
      </c>
      <c r="B49" s="1069"/>
      <c r="C49" s="349"/>
      <c r="D49" s="353"/>
      <c r="E49" s="353">
        <v>473374</v>
      </c>
      <c r="F49" s="353">
        <v>473374</v>
      </c>
      <c r="G49" s="999">
        <f t="shared" si="0"/>
        <v>100</v>
      </c>
      <c r="H49" s="242"/>
      <c r="I49" s="385"/>
      <c r="J49" s="385"/>
      <c r="K49" s="242"/>
      <c r="L49" s="1007"/>
    </row>
    <row r="50" spans="1:12" ht="13.5" customHeight="1">
      <c r="A50" s="318"/>
      <c r="B50" s="368"/>
      <c r="C50" s="349"/>
      <c r="D50" s="353"/>
      <c r="E50" s="353"/>
      <c r="F50" s="353"/>
      <c r="G50" s="999"/>
      <c r="H50" s="553" t="s">
        <v>1073</v>
      </c>
      <c r="I50" s="209">
        <f>SUM(I44+I48)</f>
        <v>7150544</v>
      </c>
      <c r="J50" s="209">
        <f>SUM(J44+J48)</f>
        <v>8280850</v>
      </c>
      <c r="K50" s="45">
        <f>SUM(K44+K48)</f>
        <v>5883898</v>
      </c>
      <c r="L50" s="1013">
        <f t="shared" si="1"/>
        <v>71.05427582917213</v>
      </c>
    </row>
    <row r="51" spans="1:12" ht="14.25" customHeight="1">
      <c r="A51" s="1070" t="s">
        <v>982</v>
      </c>
      <c r="B51" s="1075"/>
      <c r="C51" s="358"/>
      <c r="D51" s="375">
        <f>SUM(D19+D28+D36+D41+D43+D44+D45+D47+D49)</f>
        <v>7150544</v>
      </c>
      <c r="E51" s="375">
        <f>SUM(E19+E28+E36+E41+E43+E44+E45+E47+E49)</f>
        <v>5980850</v>
      </c>
      <c r="F51" s="375">
        <f>SUM(F19+F28+F36+F41+F43+F44+F45+F47+F49)</f>
        <v>5917141</v>
      </c>
      <c r="G51" s="999">
        <f t="shared" si="0"/>
        <v>98.93478351739302</v>
      </c>
      <c r="H51" s="552"/>
      <c r="I51" s="547"/>
      <c r="J51" s="349"/>
      <c r="K51" s="349"/>
      <c r="L51" s="1011"/>
    </row>
    <row r="52" spans="1:12" ht="13.5" customHeight="1" hidden="1">
      <c r="A52" s="377"/>
      <c r="B52" s="378"/>
      <c r="C52" s="349"/>
      <c r="D52" s="375"/>
      <c r="E52" s="375"/>
      <c r="F52" s="375"/>
      <c r="G52" s="999" t="e">
        <f t="shared" si="0"/>
        <v>#DIV/0!</v>
      </c>
      <c r="H52" s="550"/>
      <c r="I52" s="331"/>
      <c r="J52" s="551"/>
      <c r="K52" s="349"/>
      <c r="L52" s="1010"/>
    </row>
    <row r="53" spans="1:12" ht="13.5" customHeight="1">
      <c r="A53" s="377"/>
      <c r="B53" s="378"/>
      <c r="C53" s="349"/>
      <c r="D53" s="375"/>
      <c r="E53" s="375"/>
      <c r="F53" s="375"/>
      <c r="G53" s="999"/>
      <c r="H53" s="546" t="s">
        <v>451</v>
      </c>
      <c r="I53" s="546"/>
      <c r="J53" s="358"/>
      <c r="K53" s="546"/>
      <c r="L53" s="1008"/>
    </row>
    <row r="54" spans="1:12" ht="13.5" customHeight="1">
      <c r="A54" s="1067" t="s">
        <v>449</v>
      </c>
      <c r="B54" s="1068"/>
      <c r="C54" s="349"/>
      <c r="D54" s="375"/>
      <c r="E54" s="375"/>
      <c r="F54" s="545">
        <v>729569</v>
      </c>
      <c r="G54" s="999"/>
      <c r="H54" s="546" t="s">
        <v>452</v>
      </c>
      <c r="I54" s="546">
        <v>271381</v>
      </c>
      <c r="J54" s="1" t="s">
        <v>453</v>
      </c>
      <c r="K54" s="546"/>
      <c r="L54" s="1008"/>
    </row>
    <row r="55" spans="1:12" ht="13.5" customHeight="1">
      <c r="A55" s="1067" t="s">
        <v>1071</v>
      </c>
      <c r="B55" s="1068"/>
      <c r="C55" s="349"/>
      <c r="D55" s="375"/>
      <c r="E55" s="375"/>
      <c r="F55" s="545">
        <v>-92795</v>
      </c>
      <c r="G55" s="999"/>
      <c r="H55" s="547" t="s">
        <v>454</v>
      </c>
      <c r="I55" s="547">
        <v>8132065</v>
      </c>
      <c r="J55" s="1" t="s">
        <v>453</v>
      </c>
      <c r="K55" s="546"/>
      <c r="L55" s="1008"/>
    </row>
    <row r="56" spans="1:12" ht="13.5" customHeight="1">
      <c r="A56" s="359" t="s">
        <v>48</v>
      </c>
      <c r="B56" s="319"/>
      <c r="C56" s="349"/>
      <c r="D56" s="353"/>
      <c r="E56" s="344">
        <v>2300000</v>
      </c>
      <c r="F56" s="344">
        <v>1578150</v>
      </c>
      <c r="G56" s="999">
        <f t="shared" si="0"/>
        <v>68.61521739130436</v>
      </c>
      <c r="H56" s="547" t="s">
        <v>455</v>
      </c>
      <c r="I56" s="547">
        <v>5883898</v>
      </c>
      <c r="J56" s="1" t="s">
        <v>453</v>
      </c>
      <c r="K56" s="546"/>
      <c r="L56" s="1009"/>
    </row>
    <row r="57" spans="1:12" ht="12.75">
      <c r="A57" s="367" t="s">
        <v>1076</v>
      </c>
      <c r="B57" s="262"/>
      <c r="C57" s="349"/>
      <c r="D57" s="369">
        <f>SUM(D54:D56)</f>
        <v>0</v>
      </c>
      <c r="E57" s="369">
        <f>SUM(E54:E56)</f>
        <v>2300000</v>
      </c>
      <c r="F57" s="369">
        <f>SUM(F54:F56)</f>
        <v>2214924</v>
      </c>
      <c r="G57" s="999">
        <f t="shared" si="0"/>
        <v>96.30104347826088</v>
      </c>
      <c r="H57" s="547" t="s">
        <v>456</v>
      </c>
      <c r="I57" s="547">
        <v>181866</v>
      </c>
      <c r="J57" s="1" t="s">
        <v>453</v>
      </c>
      <c r="K57" s="1"/>
      <c r="L57" s="1008"/>
    </row>
    <row r="58" spans="1:12" ht="12.75">
      <c r="A58" s="318"/>
      <c r="B58" s="544"/>
      <c r="C58" s="349"/>
      <c r="D58" s="369"/>
      <c r="E58" s="369"/>
      <c r="F58" s="369"/>
      <c r="G58" s="999"/>
      <c r="H58" s="546" t="s">
        <v>457</v>
      </c>
      <c r="I58" s="546">
        <f>SUM(I54+I55-I56-I57)</f>
        <v>2337682</v>
      </c>
      <c r="J58" s="1" t="s">
        <v>453</v>
      </c>
      <c r="K58" s="1"/>
      <c r="L58" s="1008"/>
    </row>
    <row r="59" spans="1:12" ht="12.75" customHeight="1" thickBot="1">
      <c r="A59" s="370" t="s">
        <v>1074</v>
      </c>
      <c r="B59" s="379"/>
      <c r="C59" s="380"/>
      <c r="D59" s="381">
        <f>SUM(D51+D57)</f>
        <v>7150544</v>
      </c>
      <c r="E59" s="381">
        <f>SUM(E51+E57)</f>
        <v>8280850</v>
      </c>
      <c r="F59" s="381">
        <f>SUM(F51+F57)</f>
        <v>8132065</v>
      </c>
      <c r="G59" s="1000">
        <f t="shared" si="0"/>
        <v>98.20326415766498</v>
      </c>
      <c r="H59" s="549"/>
      <c r="I59" s="548"/>
      <c r="J59" s="548"/>
      <c r="K59" s="548"/>
      <c r="L59" s="1012"/>
    </row>
    <row r="60" spans="1:8" ht="13.5" thickTop="1">
      <c r="A60" s="8"/>
      <c r="B60" s="7"/>
      <c r="C60" s="8"/>
      <c r="D60" s="371"/>
      <c r="E60" s="371"/>
      <c r="F60" s="371"/>
      <c r="G60" s="371"/>
      <c r="H60" s="8"/>
    </row>
  </sheetData>
  <mergeCells count="17">
    <mergeCell ref="A54:B54"/>
    <mergeCell ref="A55:B55"/>
    <mergeCell ref="A45:B45"/>
    <mergeCell ref="A35:B35"/>
    <mergeCell ref="A44:B44"/>
    <mergeCell ref="A51:B51"/>
    <mergeCell ref="A47:B47"/>
    <mergeCell ref="A49:B49"/>
    <mergeCell ref="H4:L4"/>
    <mergeCell ref="A2:K2"/>
    <mergeCell ref="A29:B29"/>
    <mergeCell ref="A36:B36"/>
    <mergeCell ref="A19:B19"/>
    <mergeCell ref="A28:B28"/>
    <mergeCell ref="A27:B27"/>
    <mergeCell ref="A34:B34"/>
    <mergeCell ref="A4:G4"/>
  </mergeCells>
  <printOptions verticalCentered="1"/>
  <pageMargins left="0.1968503937007874" right="0" top="0" bottom="0" header="0" footer="0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5"/>
  <sheetViews>
    <sheetView workbookViewId="0" topLeftCell="A61">
      <selection activeCell="A83" sqref="A83"/>
    </sheetView>
  </sheetViews>
  <sheetFormatPr defaultColWidth="9.00390625" defaultRowHeight="12.75"/>
  <cols>
    <col min="1" max="1" width="86.125" style="0" customWidth="1"/>
    <col min="2" max="2" width="10.25390625" style="0" customWidth="1"/>
    <col min="3" max="3" width="11.125" style="0" customWidth="1"/>
    <col min="4" max="4" width="11.375" style="250" customWidth="1"/>
  </cols>
  <sheetData>
    <row r="1" spans="1:2" ht="12.75">
      <c r="A1" s="25" t="s">
        <v>957</v>
      </c>
      <c r="B1" s="4"/>
    </row>
    <row r="2" spans="1:4" ht="15.75">
      <c r="A2" s="1180" t="s">
        <v>905</v>
      </c>
      <c r="B2" s="1180"/>
      <c r="C2" s="1180"/>
      <c r="D2" s="1180"/>
    </row>
    <row r="3" spans="1:2" ht="16.5" thickBot="1">
      <c r="A3" s="225"/>
      <c r="B3" s="4"/>
    </row>
    <row r="4" spans="1:4" ht="12.75" customHeight="1" thickTop="1">
      <c r="A4" s="226" t="s">
        <v>910</v>
      </c>
      <c r="B4" s="241" t="s">
        <v>516</v>
      </c>
      <c r="C4" s="462" t="s">
        <v>903</v>
      </c>
      <c r="D4" s="463" t="s">
        <v>386</v>
      </c>
    </row>
    <row r="5" spans="1:4" ht="12.75" customHeight="1">
      <c r="A5" s="227" t="s">
        <v>1417</v>
      </c>
      <c r="B5" s="205">
        <v>68770</v>
      </c>
      <c r="C5" s="244">
        <v>68770</v>
      </c>
      <c r="D5" s="266">
        <v>68770</v>
      </c>
    </row>
    <row r="6" spans="1:4" ht="12.75" customHeight="1">
      <c r="A6" s="227" t="s">
        <v>800</v>
      </c>
      <c r="B6" s="205">
        <v>9000</v>
      </c>
      <c r="C6" s="244">
        <v>9000</v>
      </c>
      <c r="D6" s="266">
        <v>9000</v>
      </c>
    </row>
    <row r="7" spans="1:4" ht="12.75" customHeight="1">
      <c r="A7" s="227" t="s">
        <v>960</v>
      </c>
      <c r="B7" s="205">
        <v>9500</v>
      </c>
      <c r="C7" s="244">
        <v>9500</v>
      </c>
      <c r="D7" s="266">
        <v>9500</v>
      </c>
    </row>
    <row r="8" spans="1:4" ht="12.75" customHeight="1">
      <c r="A8" s="227" t="s">
        <v>961</v>
      </c>
      <c r="B8" s="205">
        <v>5000</v>
      </c>
      <c r="C8" s="244">
        <v>5000</v>
      </c>
      <c r="D8" s="266">
        <v>4998</v>
      </c>
    </row>
    <row r="9" spans="1:4" ht="12.75" customHeight="1">
      <c r="A9" s="227" t="s">
        <v>962</v>
      </c>
      <c r="B9" s="205">
        <v>500</v>
      </c>
      <c r="C9" s="244">
        <v>500</v>
      </c>
      <c r="D9" s="266">
        <v>500</v>
      </c>
    </row>
    <row r="10" spans="1:4" ht="12.75" customHeight="1">
      <c r="A10" s="227" t="s">
        <v>963</v>
      </c>
      <c r="B10" s="205">
        <v>7000</v>
      </c>
      <c r="C10" s="244">
        <v>7000</v>
      </c>
      <c r="D10" s="266">
        <v>7000</v>
      </c>
    </row>
    <row r="11" spans="1:4" ht="12.75" customHeight="1">
      <c r="A11" s="227" t="s">
        <v>974</v>
      </c>
      <c r="B11" s="205">
        <v>4000</v>
      </c>
      <c r="C11" s="244">
        <v>4000</v>
      </c>
      <c r="D11" s="266">
        <v>4000</v>
      </c>
    </row>
    <row r="12" spans="1:4" ht="12.75" customHeight="1">
      <c r="A12" s="227" t="s">
        <v>917</v>
      </c>
      <c r="B12" s="205">
        <v>3000</v>
      </c>
      <c r="C12" s="244">
        <v>1300</v>
      </c>
      <c r="D12" s="266">
        <v>1200</v>
      </c>
    </row>
    <row r="13" spans="1:4" ht="12.75" customHeight="1">
      <c r="A13" s="227" t="s">
        <v>964</v>
      </c>
      <c r="B13" s="205">
        <v>1000</v>
      </c>
      <c r="C13" s="244">
        <v>1000</v>
      </c>
      <c r="D13" s="266">
        <v>1000</v>
      </c>
    </row>
    <row r="14" spans="1:4" ht="12.75" customHeight="1">
      <c r="A14" s="227" t="s">
        <v>1155</v>
      </c>
      <c r="B14" s="205">
        <v>5250</v>
      </c>
      <c r="C14" s="244">
        <v>5250</v>
      </c>
      <c r="D14" s="266">
        <v>5250</v>
      </c>
    </row>
    <row r="15" spans="1:4" ht="12.75" customHeight="1">
      <c r="A15" s="227" t="s">
        <v>771</v>
      </c>
      <c r="B15" s="205"/>
      <c r="C15" s="244"/>
      <c r="D15" s="266"/>
    </row>
    <row r="16" spans="1:4" ht="12.75" customHeight="1">
      <c r="A16" s="227" t="s">
        <v>1156</v>
      </c>
      <c r="B16" s="205">
        <v>4800</v>
      </c>
      <c r="C16" s="244">
        <v>9600</v>
      </c>
      <c r="D16" s="266">
        <v>9600</v>
      </c>
    </row>
    <row r="17" spans="1:4" ht="12.75" customHeight="1">
      <c r="A17" s="227" t="s">
        <v>1147</v>
      </c>
      <c r="B17" s="205">
        <v>9900</v>
      </c>
      <c r="C17" s="244">
        <v>9900</v>
      </c>
      <c r="D17" s="266">
        <v>9900</v>
      </c>
    </row>
    <row r="18" spans="1:4" ht="12.75" customHeight="1">
      <c r="A18" s="227" t="s">
        <v>1148</v>
      </c>
      <c r="B18" s="205">
        <v>800</v>
      </c>
      <c r="C18" s="244">
        <v>800</v>
      </c>
      <c r="D18" s="266">
        <v>800</v>
      </c>
    </row>
    <row r="19" spans="1:4" ht="12.75" customHeight="1">
      <c r="A19" s="227" t="s">
        <v>1149</v>
      </c>
      <c r="B19" s="205">
        <v>5000</v>
      </c>
      <c r="C19" s="244">
        <v>3450</v>
      </c>
      <c r="D19" s="266">
        <v>3450</v>
      </c>
    </row>
    <row r="20" spans="1:4" ht="12.75" customHeight="1">
      <c r="A20" s="220" t="s">
        <v>965</v>
      </c>
      <c r="B20" s="205">
        <v>350</v>
      </c>
      <c r="C20" s="244">
        <v>350</v>
      </c>
      <c r="D20" s="266">
        <v>350</v>
      </c>
    </row>
    <row r="21" spans="1:4" ht="12.75" customHeight="1">
      <c r="A21" s="227" t="s">
        <v>1409</v>
      </c>
      <c r="B21" s="205">
        <v>34000</v>
      </c>
      <c r="C21" s="244">
        <v>34000</v>
      </c>
      <c r="D21" s="266">
        <v>34000</v>
      </c>
    </row>
    <row r="22" spans="1:4" ht="12.75" customHeight="1">
      <c r="A22" s="227" t="s">
        <v>921</v>
      </c>
      <c r="B22" s="205">
        <v>4000</v>
      </c>
      <c r="C22" s="244">
        <v>2750</v>
      </c>
      <c r="D22" s="266">
        <v>1562</v>
      </c>
    </row>
    <row r="23" spans="1:4" ht="12.75" customHeight="1">
      <c r="A23" s="227" t="s">
        <v>966</v>
      </c>
      <c r="B23" s="205">
        <v>1000</v>
      </c>
      <c r="C23" s="244">
        <v>1000</v>
      </c>
      <c r="D23" s="266">
        <v>1000</v>
      </c>
    </row>
    <row r="24" spans="1:4" ht="12.75" customHeight="1">
      <c r="A24" s="227" t="s">
        <v>920</v>
      </c>
      <c r="B24" s="205">
        <v>1000</v>
      </c>
      <c r="C24" s="244">
        <v>1000</v>
      </c>
      <c r="D24" s="266">
        <v>1000</v>
      </c>
    </row>
    <row r="25" spans="1:4" ht="12.75" customHeight="1">
      <c r="A25" s="227" t="s">
        <v>1157</v>
      </c>
      <c r="B25" s="205">
        <v>2000</v>
      </c>
      <c r="C25" s="244">
        <v>2000</v>
      </c>
      <c r="D25" s="266">
        <v>2000</v>
      </c>
    </row>
    <row r="26" spans="1:4" ht="12.75" customHeight="1">
      <c r="A26" s="227" t="s">
        <v>926</v>
      </c>
      <c r="B26" s="205">
        <v>1500</v>
      </c>
      <c r="C26" s="244">
        <v>1500</v>
      </c>
      <c r="D26" s="266">
        <v>1500</v>
      </c>
    </row>
    <row r="27" spans="1:4" ht="12.75" customHeight="1">
      <c r="A27" s="227" t="s">
        <v>919</v>
      </c>
      <c r="B27" s="205">
        <v>1000</v>
      </c>
      <c r="C27" s="244">
        <v>7000</v>
      </c>
      <c r="D27" s="266">
        <v>7000</v>
      </c>
    </row>
    <row r="28" spans="1:4" ht="12.75" customHeight="1">
      <c r="A28" s="227" t="s">
        <v>939</v>
      </c>
      <c r="B28" s="205">
        <v>500</v>
      </c>
      <c r="C28" s="244">
        <v>500</v>
      </c>
      <c r="D28" s="266"/>
    </row>
    <row r="29" spans="1:4" ht="12.75" customHeight="1">
      <c r="A29" s="227" t="s">
        <v>918</v>
      </c>
      <c r="B29" s="205">
        <v>5000</v>
      </c>
      <c r="C29" s="244">
        <v>3900</v>
      </c>
      <c r="D29" s="266">
        <v>3900</v>
      </c>
    </row>
    <row r="30" spans="1:4" ht="12.75" customHeight="1">
      <c r="A30" s="227" t="s">
        <v>541</v>
      </c>
      <c r="B30" s="205">
        <v>3000</v>
      </c>
      <c r="C30" s="244">
        <v>800</v>
      </c>
      <c r="D30" s="266">
        <v>800</v>
      </c>
    </row>
    <row r="31" spans="1:4" ht="12.75" customHeight="1">
      <c r="A31" s="227" t="s">
        <v>1146</v>
      </c>
      <c r="B31" s="205">
        <v>25000</v>
      </c>
      <c r="C31" s="244">
        <v>62900</v>
      </c>
      <c r="D31" s="266">
        <v>62900</v>
      </c>
    </row>
    <row r="32" spans="1:4" ht="12.75" customHeight="1">
      <c r="A32" s="227" t="s">
        <v>927</v>
      </c>
      <c r="B32" s="205">
        <v>300</v>
      </c>
      <c r="C32" s="244">
        <v>300</v>
      </c>
      <c r="D32" s="266">
        <v>300</v>
      </c>
    </row>
    <row r="33" spans="1:4" ht="12.75" customHeight="1">
      <c r="A33" s="227" t="s">
        <v>928</v>
      </c>
      <c r="B33" s="205">
        <v>300</v>
      </c>
      <c r="C33" s="244">
        <v>300</v>
      </c>
      <c r="D33" s="266">
        <v>300</v>
      </c>
    </row>
    <row r="34" spans="1:4" ht="12.75" customHeight="1">
      <c r="A34" s="227" t="s">
        <v>1161</v>
      </c>
      <c r="B34" s="205">
        <v>6000</v>
      </c>
      <c r="C34" s="244">
        <v>6000</v>
      </c>
      <c r="D34" s="266">
        <v>1800</v>
      </c>
    </row>
    <row r="35" spans="1:4" ht="12.75" customHeight="1">
      <c r="A35" s="227" t="s">
        <v>744</v>
      </c>
      <c r="B35" s="205">
        <v>400</v>
      </c>
      <c r="C35" s="244">
        <v>400</v>
      </c>
      <c r="D35" s="266">
        <v>324</v>
      </c>
    </row>
    <row r="36" spans="1:4" ht="12.75" customHeight="1">
      <c r="A36" s="227" t="s">
        <v>0</v>
      </c>
      <c r="B36" s="205"/>
      <c r="C36" s="244">
        <v>12000</v>
      </c>
      <c r="D36" s="266">
        <v>12000</v>
      </c>
    </row>
    <row r="37" spans="1:4" ht="12.75" customHeight="1">
      <c r="A37" s="227" t="s">
        <v>30</v>
      </c>
      <c r="B37" s="205"/>
      <c r="C37" s="244">
        <v>15</v>
      </c>
      <c r="D37" s="266">
        <v>15</v>
      </c>
    </row>
    <row r="38" spans="1:4" ht="12.75" customHeight="1">
      <c r="A38" s="227" t="s">
        <v>678</v>
      </c>
      <c r="B38" s="205"/>
      <c r="C38" s="244">
        <v>5625</v>
      </c>
      <c r="D38" s="266">
        <v>5625</v>
      </c>
    </row>
    <row r="39" spans="1:4" ht="12.75" customHeight="1">
      <c r="A39" s="227" t="s">
        <v>683</v>
      </c>
      <c r="B39" s="205"/>
      <c r="C39" s="244">
        <v>2260</v>
      </c>
      <c r="D39" s="266">
        <v>2260</v>
      </c>
    </row>
    <row r="40" spans="1:4" ht="12.75" customHeight="1">
      <c r="A40" s="227" t="s">
        <v>684</v>
      </c>
      <c r="B40" s="205"/>
      <c r="C40" s="244">
        <v>2100</v>
      </c>
      <c r="D40" s="266">
        <v>2100</v>
      </c>
    </row>
    <row r="41" spans="1:4" ht="12.75" customHeight="1">
      <c r="A41" s="227" t="s">
        <v>685</v>
      </c>
      <c r="B41" s="205"/>
      <c r="C41" s="244">
        <v>2240</v>
      </c>
      <c r="D41" s="266">
        <v>2240</v>
      </c>
    </row>
    <row r="42" spans="1:4" ht="12.75" customHeight="1">
      <c r="A42" s="227" t="s">
        <v>686</v>
      </c>
      <c r="B42" s="205"/>
      <c r="C42" s="244">
        <v>700</v>
      </c>
      <c r="D42" s="266">
        <v>700</v>
      </c>
    </row>
    <row r="43" spans="1:4" ht="12.75" customHeight="1">
      <c r="A43" s="227" t="s">
        <v>687</v>
      </c>
      <c r="B43" s="205"/>
      <c r="C43" s="244">
        <v>1500</v>
      </c>
      <c r="D43" s="266">
        <v>1500</v>
      </c>
    </row>
    <row r="44" spans="1:4" ht="12.75" customHeight="1">
      <c r="A44" s="227" t="s">
        <v>688</v>
      </c>
      <c r="B44" s="205"/>
      <c r="C44" s="244">
        <v>5000</v>
      </c>
      <c r="D44" s="266"/>
    </row>
    <row r="45" spans="1:4" ht="12.75" customHeight="1">
      <c r="A45" s="227" t="s">
        <v>1116</v>
      </c>
      <c r="B45" s="204"/>
      <c r="C45" s="244">
        <v>10</v>
      </c>
      <c r="D45" s="266">
        <v>10</v>
      </c>
    </row>
    <row r="46" spans="1:4" ht="12.75" customHeight="1">
      <c r="A46" s="227" t="s">
        <v>1117</v>
      </c>
      <c r="B46" s="204"/>
      <c r="C46" s="244">
        <v>1500</v>
      </c>
      <c r="D46" s="266">
        <v>1500</v>
      </c>
    </row>
    <row r="47" spans="1:4" ht="12.75" customHeight="1">
      <c r="A47" s="227" t="s">
        <v>494</v>
      </c>
      <c r="B47" s="204"/>
      <c r="C47" s="244">
        <v>300</v>
      </c>
      <c r="D47" s="266">
        <v>300</v>
      </c>
    </row>
    <row r="48" spans="1:4" ht="12.75" customHeight="1">
      <c r="A48" s="227" t="s">
        <v>495</v>
      </c>
      <c r="B48" s="204"/>
      <c r="C48" s="244">
        <v>100</v>
      </c>
      <c r="D48" s="266">
        <v>100</v>
      </c>
    </row>
    <row r="49" spans="1:4" ht="12.75" customHeight="1">
      <c r="A49" s="227" t="s">
        <v>496</v>
      </c>
      <c r="B49" s="204"/>
      <c r="C49" s="244">
        <v>100</v>
      </c>
      <c r="D49" s="266">
        <v>100</v>
      </c>
    </row>
    <row r="50" spans="1:4" ht="12.75" customHeight="1">
      <c r="A50" s="227" t="s">
        <v>497</v>
      </c>
      <c r="B50" s="204"/>
      <c r="C50" s="244">
        <v>59</v>
      </c>
      <c r="D50" s="266">
        <v>59</v>
      </c>
    </row>
    <row r="51" spans="1:4" ht="12.75" customHeight="1">
      <c r="A51" s="227" t="s">
        <v>935</v>
      </c>
      <c r="B51" s="204"/>
      <c r="C51" s="244"/>
      <c r="D51" s="266">
        <v>36</v>
      </c>
    </row>
    <row r="52" spans="1:4" ht="12.75" customHeight="1">
      <c r="A52" s="227" t="s">
        <v>936</v>
      </c>
      <c r="B52" s="204"/>
      <c r="C52" s="244"/>
      <c r="D52" s="266">
        <v>193</v>
      </c>
    </row>
    <row r="53" spans="1:4" ht="12.75" customHeight="1">
      <c r="A53" s="227" t="s">
        <v>1</v>
      </c>
      <c r="B53" s="204"/>
      <c r="C53" s="244"/>
      <c r="D53" s="266"/>
    </row>
    <row r="54" spans="1:4" ht="12.75" customHeight="1">
      <c r="A54" s="227" t="s">
        <v>2</v>
      </c>
      <c r="B54" s="205"/>
      <c r="C54" s="244">
        <v>80</v>
      </c>
      <c r="D54" s="266">
        <v>80</v>
      </c>
    </row>
    <row r="55" spans="1:4" ht="12.75" customHeight="1">
      <c r="A55" s="227" t="s">
        <v>3</v>
      </c>
      <c r="B55" s="205"/>
      <c r="C55" s="244">
        <v>200</v>
      </c>
      <c r="D55" s="266">
        <v>200</v>
      </c>
    </row>
    <row r="56" spans="1:4" ht="12.75" customHeight="1">
      <c r="A56" s="227" t="s">
        <v>4</v>
      </c>
      <c r="B56" s="205"/>
      <c r="C56" s="244">
        <v>250</v>
      </c>
      <c r="D56" s="266">
        <v>250</v>
      </c>
    </row>
    <row r="57" spans="1:4" ht="12.75" customHeight="1">
      <c r="A57" s="227" t="s">
        <v>5</v>
      </c>
      <c r="B57" s="205"/>
      <c r="C57" s="244">
        <v>100</v>
      </c>
      <c r="D57" s="266">
        <v>100</v>
      </c>
    </row>
    <row r="58" spans="1:4" ht="12.75" customHeight="1">
      <c r="A58" s="227" t="s">
        <v>28</v>
      </c>
      <c r="B58" s="205"/>
      <c r="C58" s="244">
        <v>250</v>
      </c>
      <c r="D58" s="266">
        <v>250</v>
      </c>
    </row>
    <row r="59" spans="1:4" ht="12.75" customHeight="1">
      <c r="A59" s="227" t="s">
        <v>29</v>
      </c>
      <c r="B59" s="205"/>
      <c r="C59" s="244">
        <v>150</v>
      </c>
      <c r="D59" s="266">
        <v>150</v>
      </c>
    </row>
    <row r="60" spans="1:4" ht="12.75" customHeight="1">
      <c r="A60" s="227" t="s">
        <v>31</v>
      </c>
      <c r="B60" s="205"/>
      <c r="C60" s="244">
        <v>100</v>
      </c>
      <c r="D60" s="266">
        <v>100</v>
      </c>
    </row>
    <row r="61" spans="1:4" ht="12.75" customHeight="1">
      <c r="A61" s="227" t="s">
        <v>32</v>
      </c>
      <c r="B61" s="205"/>
      <c r="C61" s="244">
        <v>600</v>
      </c>
      <c r="D61" s="266">
        <v>600</v>
      </c>
    </row>
    <row r="62" spans="1:4" ht="12.75" customHeight="1">
      <c r="A62" s="227" t="s">
        <v>679</v>
      </c>
      <c r="B62" s="205"/>
      <c r="C62" s="244">
        <v>100</v>
      </c>
      <c r="D62" s="266">
        <v>100</v>
      </c>
    </row>
    <row r="63" spans="1:4" ht="12.75" customHeight="1">
      <c r="A63" s="227" t="s">
        <v>680</v>
      </c>
      <c r="B63" s="205"/>
      <c r="C63" s="244">
        <v>100</v>
      </c>
      <c r="D63" s="266"/>
    </row>
    <row r="64" spans="1:4" ht="12.75" customHeight="1">
      <c r="A64" s="227" t="s">
        <v>681</v>
      </c>
      <c r="B64" s="205"/>
      <c r="C64" s="244">
        <v>50</v>
      </c>
      <c r="D64" s="266">
        <v>50</v>
      </c>
    </row>
    <row r="65" spans="1:4" ht="12.75" customHeight="1">
      <c r="A65" s="227" t="s">
        <v>364</v>
      </c>
      <c r="B65" s="204"/>
      <c r="C65" s="244">
        <v>400</v>
      </c>
      <c r="D65" s="266">
        <v>400</v>
      </c>
    </row>
    <row r="66" spans="1:4" ht="12.75" customHeight="1">
      <c r="A66" s="227" t="s">
        <v>365</v>
      </c>
      <c r="B66" s="204"/>
      <c r="C66" s="244">
        <v>200</v>
      </c>
      <c r="D66" s="266">
        <v>200</v>
      </c>
    </row>
    <row r="67" spans="1:4" ht="12.75" customHeight="1">
      <c r="A67" s="227" t="s">
        <v>366</v>
      </c>
      <c r="B67" s="204"/>
      <c r="C67" s="244">
        <v>250</v>
      </c>
      <c r="D67" s="266">
        <v>250</v>
      </c>
    </row>
    <row r="68" spans="1:4" ht="12.75" customHeight="1">
      <c r="A68" s="227" t="s">
        <v>367</v>
      </c>
      <c r="B68" s="204"/>
      <c r="C68" s="244">
        <v>450</v>
      </c>
      <c r="D68" s="266">
        <v>450</v>
      </c>
    </row>
    <row r="69" spans="1:4" ht="12.75" customHeight="1">
      <c r="A69" s="227" t="s">
        <v>368</v>
      </c>
      <c r="B69" s="204"/>
      <c r="C69" s="244">
        <v>50</v>
      </c>
      <c r="D69" s="266">
        <v>50</v>
      </c>
    </row>
    <row r="70" spans="1:4" ht="12.75" customHeight="1">
      <c r="A70" s="227" t="s">
        <v>369</v>
      </c>
      <c r="B70" s="204"/>
      <c r="C70" s="244">
        <v>100</v>
      </c>
      <c r="D70" s="266">
        <v>100</v>
      </c>
    </row>
    <row r="71" spans="1:4" ht="12.75" customHeight="1">
      <c r="A71" s="227" t="s">
        <v>370</v>
      </c>
      <c r="B71" s="204"/>
      <c r="C71" s="244">
        <v>100</v>
      </c>
      <c r="D71" s="266">
        <v>100</v>
      </c>
    </row>
    <row r="72" spans="1:4" ht="12.75" customHeight="1">
      <c r="A72" s="227" t="s">
        <v>1425</v>
      </c>
      <c r="B72" s="204"/>
      <c r="C72" s="244">
        <v>500</v>
      </c>
      <c r="D72" s="266">
        <v>500</v>
      </c>
    </row>
    <row r="73" spans="1:4" ht="12.75" customHeight="1">
      <c r="A73" s="227" t="s">
        <v>371</v>
      </c>
      <c r="B73" s="204"/>
      <c r="C73" s="244">
        <v>50</v>
      </c>
      <c r="D73" s="266">
        <v>50</v>
      </c>
    </row>
    <row r="74" spans="1:4" ht="12.75" customHeight="1">
      <c r="A74" s="220" t="s">
        <v>508</v>
      </c>
      <c r="B74" s="448"/>
      <c r="C74" s="244">
        <v>250</v>
      </c>
      <c r="D74" s="266">
        <v>250</v>
      </c>
    </row>
    <row r="75" spans="1:4" ht="12.75" customHeight="1">
      <c r="A75" s="227" t="s">
        <v>509</v>
      </c>
      <c r="B75" s="448"/>
      <c r="C75" s="244">
        <v>150</v>
      </c>
      <c r="D75" s="266">
        <v>150</v>
      </c>
    </row>
    <row r="76" spans="1:4" ht="12.75" customHeight="1" thickBot="1">
      <c r="A76" s="434" t="s">
        <v>1328</v>
      </c>
      <c r="B76" s="435">
        <f>SUM(B5:B64)</f>
        <v>218870</v>
      </c>
      <c r="C76" s="522">
        <f>SUM(C5:C75)</f>
        <v>297759</v>
      </c>
      <c r="D76" s="436">
        <f>SUM(D5:D75)</f>
        <v>286822</v>
      </c>
    </row>
    <row r="77" spans="1:4" ht="12.75" customHeight="1" thickTop="1">
      <c r="A77" s="226" t="s">
        <v>909</v>
      </c>
      <c r="B77" s="449" t="s">
        <v>516</v>
      </c>
      <c r="C77" s="462" t="s">
        <v>903</v>
      </c>
      <c r="D77" s="463" t="s">
        <v>386</v>
      </c>
    </row>
    <row r="78" spans="1:4" ht="12.75" customHeight="1">
      <c r="A78" s="227" t="s">
        <v>1158</v>
      </c>
      <c r="B78" s="204">
        <v>9703</v>
      </c>
      <c r="C78" s="447">
        <v>8263</v>
      </c>
      <c r="D78" s="266"/>
    </row>
    <row r="79" spans="1:4" ht="12.75" customHeight="1">
      <c r="A79" s="227" t="s">
        <v>967</v>
      </c>
      <c r="B79" s="204">
        <v>1000</v>
      </c>
      <c r="C79" s="447">
        <v>1000</v>
      </c>
      <c r="D79" s="266">
        <v>400</v>
      </c>
    </row>
    <row r="80" spans="1:4" ht="12.75" customHeight="1">
      <c r="A80" s="227" t="s">
        <v>1416</v>
      </c>
      <c r="B80" s="204">
        <v>2500</v>
      </c>
      <c r="C80" s="447">
        <v>2500</v>
      </c>
      <c r="D80" s="266">
        <v>2392</v>
      </c>
    </row>
    <row r="81" spans="1:4" ht="12.75" customHeight="1">
      <c r="A81" s="227" t="s">
        <v>925</v>
      </c>
      <c r="B81" s="204">
        <v>1000</v>
      </c>
      <c r="C81" s="447">
        <v>1000</v>
      </c>
      <c r="D81" s="266"/>
    </row>
    <row r="82" spans="1:4" ht="12.75" customHeight="1">
      <c r="A82" s="227" t="s">
        <v>929</v>
      </c>
      <c r="B82" s="204">
        <v>2000</v>
      </c>
      <c r="C82" s="447">
        <v>5400</v>
      </c>
      <c r="D82" s="266">
        <v>5400</v>
      </c>
    </row>
    <row r="83" spans="1:4" ht="12.75" customHeight="1">
      <c r="A83" s="227" t="s">
        <v>1159</v>
      </c>
      <c r="B83" s="204">
        <v>139400</v>
      </c>
      <c r="C83" s="447">
        <v>113976</v>
      </c>
      <c r="D83" s="266">
        <v>64968</v>
      </c>
    </row>
    <row r="84" spans="1:4" ht="12.75" customHeight="1">
      <c r="A84" s="227" t="s">
        <v>1145</v>
      </c>
      <c r="B84" s="204">
        <v>40000</v>
      </c>
      <c r="C84" s="447">
        <v>40000</v>
      </c>
      <c r="D84" s="266"/>
    </row>
    <row r="85" spans="1:4" ht="12.75" customHeight="1">
      <c r="A85" s="227" t="s">
        <v>1160</v>
      </c>
      <c r="B85" s="204">
        <v>1500</v>
      </c>
      <c r="C85" s="447">
        <v>1980</v>
      </c>
      <c r="D85" s="266">
        <v>1980</v>
      </c>
    </row>
    <row r="86" spans="1:4" ht="12.75" customHeight="1">
      <c r="A86" s="227" t="s">
        <v>6</v>
      </c>
      <c r="B86" s="204"/>
      <c r="C86" s="447">
        <v>587</v>
      </c>
      <c r="D86" s="266">
        <v>587</v>
      </c>
    </row>
    <row r="87" spans="1:4" ht="12.75" customHeight="1">
      <c r="A87" s="227" t="s">
        <v>62</v>
      </c>
      <c r="B87" s="205"/>
      <c r="C87" s="244">
        <v>10000</v>
      </c>
      <c r="D87" s="266">
        <v>10000</v>
      </c>
    </row>
    <row r="88" spans="1:4" ht="12.75" customHeight="1">
      <c r="A88" s="227" t="s">
        <v>8</v>
      </c>
      <c r="B88" s="205"/>
      <c r="C88" s="244">
        <v>14910</v>
      </c>
      <c r="D88" s="266">
        <v>14910</v>
      </c>
    </row>
    <row r="89" spans="1:4" ht="12.75" customHeight="1">
      <c r="A89" s="227" t="s">
        <v>9</v>
      </c>
      <c r="B89" s="205"/>
      <c r="C89" s="244">
        <v>4600</v>
      </c>
      <c r="D89" s="266">
        <v>4600</v>
      </c>
    </row>
    <row r="90" spans="1:4" ht="12.75" customHeight="1">
      <c r="A90" s="227" t="s">
        <v>689</v>
      </c>
      <c r="B90" s="205"/>
      <c r="C90" s="244">
        <v>33600</v>
      </c>
      <c r="D90" s="266">
        <v>33600</v>
      </c>
    </row>
    <row r="91" spans="1:4" ht="12.75" customHeight="1">
      <c r="A91" s="227" t="s">
        <v>690</v>
      </c>
      <c r="B91" s="205"/>
      <c r="C91" s="244">
        <v>20000</v>
      </c>
      <c r="D91" s="266">
        <v>20000</v>
      </c>
    </row>
    <row r="92" spans="1:4" ht="12.75" customHeight="1">
      <c r="A92" s="227" t="s">
        <v>691</v>
      </c>
      <c r="B92" s="205"/>
      <c r="C92" s="244">
        <v>2500</v>
      </c>
      <c r="D92" s="266">
        <v>2462</v>
      </c>
    </row>
    <row r="93" spans="1:4" ht="12.75" customHeight="1">
      <c r="A93" s="227" t="s">
        <v>692</v>
      </c>
      <c r="B93" s="205"/>
      <c r="C93" s="244">
        <v>12875</v>
      </c>
      <c r="D93" s="266">
        <v>12875</v>
      </c>
    </row>
    <row r="94" spans="1:4" ht="12.75" customHeight="1">
      <c r="A94" s="227" t="s">
        <v>1042</v>
      </c>
      <c r="B94" s="205"/>
      <c r="C94" s="244">
        <v>10000</v>
      </c>
      <c r="D94" s="266"/>
    </row>
    <row r="95" spans="1:4" ht="12.75" customHeight="1">
      <c r="A95" s="227" t="s">
        <v>1043</v>
      </c>
      <c r="B95" s="205"/>
      <c r="C95" s="244">
        <v>13000</v>
      </c>
      <c r="D95" s="266">
        <v>4531</v>
      </c>
    </row>
    <row r="96" spans="1:4" ht="12.75" customHeight="1">
      <c r="A96" s="227" t="s">
        <v>498</v>
      </c>
      <c r="B96" s="205"/>
      <c r="C96" s="244">
        <v>1500</v>
      </c>
      <c r="D96" s="266">
        <v>1500</v>
      </c>
    </row>
    <row r="97" spans="1:4" ht="12.75" customHeight="1">
      <c r="A97" s="227" t="s">
        <v>499</v>
      </c>
      <c r="B97" s="205"/>
      <c r="C97" s="244">
        <v>384725</v>
      </c>
      <c r="D97" s="266">
        <v>384725</v>
      </c>
    </row>
    <row r="98" spans="1:4" ht="12.75" customHeight="1">
      <c r="A98" s="227" t="s">
        <v>1</v>
      </c>
      <c r="B98" s="205"/>
      <c r="C98" s="244"/>
      <c r="D98" s="266"/>
    </row>
    <row r="99" spans="1:4" ht="12.75" customHeight="1">
      <c r="A99" s="227" t="s">
        <v>682</v>
      </c>
      <c r="B99" s="205"/>
      <c r="C99" s="244">
        <v>126</v>
      </c>
      <c r="D99" s="266">
        <v>126</v>
      </c>
    </row>
    <row r="100" spans="1:4" ht="12.75" customHeight="1">
      <c r="A100" s="227" t="s">
        <v>372</v>
      </c>
      <c r="B100" s="204"/>
      <c r="C100" s="244">
        <v>12000</v>
      </c>
      <c r="D100" s="266"/>
    </row>
    <row r="101" spans="1:4" ht="12.75" customHeight="1">
      <c r="A101" s="227" t="s">
        <v>510</v>
      </c>
      <c r="B101" s="204"/>
      <c r="C101" s="244">
        <v>250</v>
      </c>
      <c r="D101" s="266">
        <v>250</v>
      </c>
    </row>
    <row r="102" spans="1:4" ht="12.75" customHeight="1">
      <c r="A102" s="228" t="s">
        <v>1328</v>
      </c>
      <c r="B102" s="419">
        <f>SUM(B78:B100)</f>
        <v>197103</v>
      </c>
      <c r="C102" s="523">
        <f>SUM(C78:C101)</f>
        <v>694792</v>
      </c>
      <c r="D102" s="418">
        <f>SUM(D78:D101)</f>
        <v>565306</v>
      </c>
    </row>
    <row r="103" spans="1:4" ht="12.75" customHeight="1">
      <c r="A103" s="228"/>
      <c r="B103" s="204"/>
      <c r="C103" s="447"/>
      <c r="D103" s="266"/>
    </row>
    <row r="104" spans="1:4" ht="12.75" customHeight="1" thickBot="1">
      <c r="A104" s="229" t="s">
        <v>1283</v>
      </c>
      <c r="B104" s="215">
        <v>415973</v>
      </c>
      <c r="C104" s="524">
        <f>SUM(C76,C102)</f>
        <v>992551</v>
      </c>
      <c r="D104" s="267">
        <f>SUM(D76,D102)</f>
        <v>852128</v>
      </c>
    </row>
    <row r="105" spans="1:2" ht="13.5" thickTop="1">
      <c r="A105" s="4"/>
      <c r="B105" s="4"/>
    </row>
  </sheetData>
  <mergeCells count="1">
    <mergeCell ref="A2:D2"/>
  </mergeCells>
  <printOptions horizontalCentered="1"/>
  <pageMargins left="0.24" right="0.2362204724409449" top="0.46" bottom="0.44" header="0.2362204724409449" footer="0.2362204724409449"/>
  <pageSetup horizontalDpi="600" verticalDpi="600" orientation="portrait" paperSize="9" scale="80" r:id="rId1"/>
  <rowBreaks count="1" manualBreakCount="1">
    <brk id="7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D54" sqref="D54"/>
    </sheetView>
  </sheetViews>
  <sheetFormatPr defaultColWidth="9.00390625" defaultRowHeight="12.75"/>
  <cols>
    <col min="1" max="1" width="61.125" style="0" customWidth="1"/>
    <col min="2" max="2" width="10.75390625" style="0" customWidth="1"/>
    <col min="3" max="3" width="11.375" style="0" customWidth="1"/>
    <col min="4" max="4" width="11.625" style="0" customWidth="1"/>
  </cols>
  <sheetData>
    <row r="1" spans="1:2" ht="12.75">
      <c r="A1" s="25" t="s">
        <v>774</v>
      </c>
      <c r="B1" s="4"/>
    </row>
    <row r="2" spans="1:2" ht="12.75">
      <c r="A2" s="195"/>
      <c r="B2" s="4"/>
    </row>
    <row r="3" spans="1:2" ht="12.75">
      <c r="A3" s="195"/>
      <c r="B3" s="4"/>
    </row>
    <row r="4" spans="1:4" ht="12.75">
      <c r="A4" s="1181" t="s">
        <v>1422</v>
      </c>
      <c r="B4" s="1066"/>
      <c r="C4" s="1066"/>
      <c r="D4" s="1066"/>
    </row>
    <row r="5" spans="1:4" ht="12.75">
      <c r="A5" s="1181" t="s">
        <v>911</v>
      </c>
      <c r="B5" s="1066"/>
      <c r="C5" s="1066"/>
      <c r="D5" s="1066"/>
    </row>
    <row r="6" spans="1:4" ht="12.75">
      <c r="A6" s="1182" t="s">
        <v>906</v>
      </c>
      <c r="B6" s="1066"/>
      <c r="C6" s="1066"/>
      <c r="D6" s="1066"/>
    </row>
    <row r="7" spans="1:2" ht="12.75">
      <c r="A7" s="230"/>
      <c r="B7" s="194"/>
    </row>
    <row r="8" spans="1:2" ht="13.5" thickBot="1">
      <c r="A8" s="230"/>
      <c r="B8" s="4"/>
    </row>
    <row r="9" spans="1:4" ht="12.75" customHeight="1" thickTop="1">
      <c r="A9" s="231"/>
      <c r="B9" s="241" t="s">
        <v>516</v>
      </c>
      <c r="C9" s="462" t="s">
        <v>903</v>
      </c>
      <c r="D9" s="463" t="s">
        <v>386</v>
      </c>
    </row>
    <row r="10" spans="1:4" ht="12.75" customHeight="1">
      <c r="A10" s="26" t="s">
        <v>1423</v>
      </c>
      <c r="B10" s="242"/>
      <c r="C10" s="464"/>
      <c r="D10" s="269"/>
    </row>
    <row r="11" spans="1:4" ht="12.75" customHeight="1">
      <c r="A11" s="10" t="s">
        <v>1162</v>
      </c>
      <c r="B11" s="205">
        <v>15000</v>
      </c>
      <c r="C11" s="244">
        <v>9000</v>
      </c>
      <c r="D11" s="266">
        <v>9573</v>
      </c>
    </row>
    <row r="12" spans="1:4" ht="12.75" customHeight="1">
      <c r="A12" s="10" t="s">
        <v>1419</v>
      </c>
      <c r="B12" s="205">
        <v>56000</v>
      </c>
      <c r="C12" s="244">
        <v>56000</v>
      </c>
      <c r="D12" s="266">
        <v>55568</v>
      </c>
    </row>
    <row r="13" spans="1:4" ht="12.75" customHeight="1">
      <c r="A13" s="10" t="s">
        <v>773</v>
      </c>
      <c r="B13" s="205">
        <v>2000</v>
      </c>
      <c r="C13" s="244">
        <v>917</v>
      </c>
      <c r="D13" s="266">
        <v>917</v>
      </c>
    </row>
    <row r="14" spans="1:4" ht="12.75" customHeight="1">
      <c r="A14" s="10" t="s">
        <v>934</v>
      </c>
      <c r="B14" s="205">
        <v>1200</v>
      </c>
      <c r="C14" s="244">
        <v>1200</v>
      </c>
      <c r="D14" s="266">
        <v>1500</v>
      </c>
    </row>
    <row r="15" spans="1:4" ht="12.75" customHeight="1">
      <c r="A15" s="10" t="s">
        <v>1041</v>
      </c>
      <c r="B15" s="205">
        <v>3000</v>
      </c>
      <c r="C15" s="244">
        <v>3000</v>
      </c>
      <c r="D15" s="266"/>
    </row>
    <row r="16" spans="1:4" ht="12.75" customHeight="1">
      <c r="A16" s="10" t="s">
        <v>1163</v>
      </c>
      <c r="B16" s="205">
        <v>17000</v>
      </c>
      <c r="C16" s="244">
        <v>17000</v>
      </c>
      <c r="D16" s="266">
        <v>17002</v>
      </c>
    </row>
    <row r="17" spans="1:4" ht="12.75" customHeight="1">
      <c r="A17" s="10" t="s">
        <v>538</v>
      </c>
      <c r="B17" s="205">
        <v>8000</v>
      </c>
      <c r="C17" s="244">
        <v>8000</v>
      </c>
      <c r="D17" s="266">
        <v>8000</v>
      </c>
    </row>
    <row r="18" spans="1:4" ht="12.75" customHeight="1">
      <c r="A18" s="10" t="s">
        <v>745</v>
      </c>
      <c r="B18" s="205">
        <v>500</v>
      </c>
      <c r="C18" s="244">
        <v>500</v>
      </c>
      <c r="D18" s="266">
        <v>380</v>
      </c>
    </row>
    <row r="19" spans="1:4" ht="12.75" customHeight="1">
      <c r="A19" s="10" t="s">
        <v>45</v>
      </c>
      <c r="B19" s="205"/>
      <c r="C19" s="244">
        <v>2500</v>
      </c>
      <c r="D19" s="266">
        <v>2500</v>
      </c>
    </row>
    <row r="20" spans="1:4" ht="12.75" customHeight="1">
      <c r="A20" s="10" t="s">
        <v>743</v>
      </c>
      <c r="B20" s="205"/>
      <c r="C20" s="244">
        <v>3253</v>
      </c>
      <c r="D20" s="266">
        <v>3253</v>
      </c>
    </row>
    <row r="21" spans="1:4" ht="12.75" customHeight="1">
      <c r="A21" s="10" t="s">
        <v>33</v>
      </c>
      <c r="B21" s="205"/>
      <c r="C21" s="244">
        <v>4744</v>
      </c>
      <c r="D21" s="266">
        <v>4744</v>
      </c>
    </row>
    <row r="22" spans="1:4" ht="12.75" customHeight="1">
      <c r="A22" s="10" t="s">
        <v>761</v>
      </c>
      <c r="B22" s="205"/>
      <c r="C22" s="244">
        <v>7353</v>
      </c>
      <c r="D22" s="266">
        <v>7650</v>
      </c>
    </row>
    <row r="23" spans="1:4" ht="12.75" customHeight="1">
      <c r="A23" s="10" t="s">
        <v>1091</v>
      </c>
      <c r="B23" s="205"/>
      <c r="C23" s="244">
        <v>16412</v>
      </c>
      <c r="D23" s="266">
        <v>5340</v>
      </c>
    </row>
    <row r="24" spans="1:4" ht="12.75" customHeight="1">
      <c r="A24" s="10" t="s">
        <v>1092</v>
      </c>
      <c r="B24" s="205"/>
      <c r="C24" s="244">
        <v>100</v>
      </c>
      <c r="D24" s="266">
        <v>100</v>
      </c>
    </row>
    <row r="25" spans="1:4" ht="12.75" customHeight="1">
      <c r="A25" s="10" t="s">
        <v>1093</v>
      </c>
      <c r="B25" s="205"/>
      <c r="C25" s="244">
        <v>417</v>
      </c>
      <c r="D25" s="266">
        <v>417</v>
      </c>
    </row>
    <row r="26" spans="1:4" ht="12.75" customHeight="1">
      <c r="A26" s="10" t="s">
        <v>1094</v>
      </c>
      <c r="B26" s="205"/>
      <c r="C26" s="244">
        <v>1500</v>
      </c>
      <c r="D26" s="266">
        <v>1500</v>
      </c>
    </row>
    <row r="27" spans="1:4" ht="12.75" customHeight="1">
      <c r="A27" s="10" t="s">
        <v>1095</v>
      </c>
      <c r="B27" s="205"/>
      <c r="C27" s="244">
        <v>450</v>
      </c>
      <c r="D27" s="266">
        <v>450</v>
      </c>
    </row>
    <row r="28" spans="1:4" ht="12.75" customHeight="1">
      <c r="A28" s="10" t="s">
        <v>492</v>
      </c>
      <c r="B28" s="204"/>
      <c r="C28" s="244">
        <v>450</v>
      </c>
      <c r="D28" s="266">
        <v>450</v>
      </c>
    </row>
    <row r="29" spans="1:4" ht="12.75" customHeight="1">
      <c r="A29" s="10" t="s">
        <v>794</v>
      </c>
      <c r="B29" s="204"/>
      <c r="C29" s="447">
        <v>6339</v>
      </c>
      <c r="D29" s="266">
        <v>6339</v>
      </c>
    </row>
    <row r="30" spans="1:4" ht="12.75" customHeight="1">
      <c r="A30" s="232" t="s">
        <v>1328</v>
      </c>
      <c r="B30" s="222">
        <f>SUM(B11:B29)</f>
        <v>102700</v>
      </c>
      <c r="C30" s="222">
        <f>SUM(C11:C29)</f>
        <v>139135</v>
      </c>
      <c r="D30" s="420">
        <f>SUM(D11:D29)</f>
        <v>125683</v>
      </c>
    </row>
    <row r="31" spans="1:4" ht="12.75" customHeight="1">
      <c r="A31" s="10"/>
      <c r="B31" s="205"/>
      <c r="C31" s="447"/>
      <c r="D31" s="266"/>
    </row>
    <row r="32" spans="1:4" ht="12.75" customHeight="1">
      <c r="A32" s="26" t="s">
        <v>1424</v>
      </c>
      <c r="B32" s="243"/>
      <c r="C32" s="447"/>
      <c r="D32" s="266"/>
    </row>
    <row r="33" spans="1:4" ht="12.75" customHeight="1">
      <c r="A33" s="233" t="s">
        <v>539</v>
      </c>
      <c r="B33" s="205">
        <v>20000</v>
      </c>
      <c r="C33" s="244">
        <v>3588</v>
      </c>
      <c r="D33" s="266"/>
    </row>
    <row r="34" spans="1:4" ht="12.75" customHeight="1">
      <c r="A34" s="233" t="s">
        <v>1096</v>
      </c>
      <c r="B34" s="205"/>
      <c r="C34" s="244">
        <v>83466</v>
      </c>
      <c r="D34" s="266">
        <v>83466</v>
      </c>
    </row>
    <row r="35" spans="1:4" ht="12.75" customHeight="1">
      <c r="A35" s="233" t="s">
        <v>1097</v>
      </c>
      <c r="B35" s="205"/>
      <c r="C35" s="244">
        <v>49909</v>
      </c>
      <c r="D35" s="266">
        <v>49909</v>
      </c>
    </row>
    <row r="36" spans="1:4" ht="12.75" customHeight="1">
      <c r="A36" s="233" t="s">
        <v>1098</v>
      </c>
      <c r="B36" s="205"/>
      <c r="C36" s="244">
        <v>583</v>
      </c>
      <c r="D36" s="266">
        <v>583</v>
      </c>
    </row>
    <row r="37" spans="1:4" ht="12.75" customHeight="1">
      <c r="A37" s="233" t="s">
        <v>493</v>
      </c>
      <c r="B37" s="204"/>
      <c r="C37" s="244">
        <v>167386</v>
      </c>
      <c r="D37" s="266">
        <v>167386</v>
      </c>
    </row>
    <row r="38" spans="1:4" ht="12.75" customHeight="1">
      <c r="A38" s="233" t="s">
        <v>795</v>
      </c>
      <c r="B38" s="204"/>
      <c r="C38" s="447">
        <v>15661</v>
      </c>
      <c r="D38" s="266"/>
    </row>
    <row r="39" spans="1:4" ht="12.75" customHeight="1">
      <c r="A39" s="232" t="s">
        <v>1328</v>
      </c>
      <c r="B39" s="222">
        <f>SUM(B33:B38)</f>
        <v>20000</v>
      </c>
      <c r="C39" s="222">
        <f>SUM(C33:C38)</f>
        <v>320593</v>
      </c>
      <c r="D39" s="420">
        <f>SUM(D33:D38)</f>
        <v>301344</v>
      </c>
    </row>
    <row r="40" spans="1:4" ht="12.75" customHeight="1">
      <c r="A40" s="232"/>
      <c r="B40" s="204"/>
      <c r="C40" s="447"/>
      <c r="D40" s="266"/>
    </row>
    <row r="41" spans="1:4" ht="12.75" customHeight="1">
      <c r="A41" s="26" t="s">
        <v>1426</v>
      </c>
      <c r="B41" s="204"/>
      <c r="C41" s="447"/>
      <c r="D41" s="266"/>
    </row>
    <row r="42" spans="1:4" ht="12.75" customHeight="1">
      <c r="A42" s="234" t="s">
        <v>540</v>
      </c>
      <c r="B42" s="204">
        <v>6000</v>
      </c>
      <c r="C42" s="244">
        <v>6000</v>
      </c>
      <c r="D42" s="266">
        <v>4121</v>
      </c>
    </row>
    <row r="43" spans="1:4" ht="12.75" customHeight="1">
      <c r="A43" s="234" t="s">
        <v>1421</v>
      </c>
      <c r="B43" s="204">
        <v>1500</v>
      </c>
      <c r="C43" s="244">
        <v>1500</v>
      </c>
      <c r="D43" s="266">
        <v>1406</v>
      </c>
    </row>
    <row r="44" spans="1:4" ht="12.75" customHeight="1">
      <c r="A44" s="10" t="s">
        <v>924</v>
      </c>
      <c r="B44" s="204">
        <v>4220</v>
      </c>
      <c r="C44" s="244">
        <v>4220</v>
      </c>
      <c r="D44" s="266">
        <v>4707</v>
      </c>
    </row>
    <row r="45" spans="1:4" ht="12.75" customHeight="1">
      <c r="A45" s="232" t="s">
        <v>1328</v>
      </c>
      <c r="B45" s="222">
        <v>11720</v>
      </c>
      <c r="C45" s="466">
        <f>SUM(C42:C44)</f>
        <v>11720</v>
      </c>
      <c r="D45" s="270">
        <f>SUM(D42:D44)</f>
        <v>10234</v>
      </c>
    </row>
    <row r="46" spans="1:4" ht="12.75" customHeight="1">
      <c r="A46" s="10"/>
      <c r="B46" s="204"/>
      <c r="C46" s="447"/>
      <c r="D46" s="266"/>
    </row>
    <row r="47" spans="1:4" ht="12.75" customHeight="1">
      <c r="A47" s="26" t="s">
        <v>39</v>
      </c>
      <c r="B47" s="204"/>
      <c r="C47" s="447"/>
      <c r="D47" s="266"/>
    </row>
    <row r="48" spans="1:4" ht="12.75" customHeight="1">
      <c r="A48" s="10" t="s">
        <v>42</v>
      </c>
      <c r="B48" s="204"/>
      <c r="C48" s="447"/>
      <c r="D48" s="266">
        <v>97</v>
      </c>
    </row>
    <row r="49" spans="1:4" ht="12.75" customHeight="1">
      <c r="A49" s="10" t="s">
        <v>43</v>
      </c>
      <c r="B49" s="204"/>
      <c r="C49" s="447">
        <v>1425</v>
      </c>
      <c r="D49" s="266">
        <v>1505</v>
      </c>
    </row>
    <row r="50" spans="1:4" ht="12.75" customHeight="1">
      <c r="A50" s="10" t="s">
        <v>762</v>
      </c>
      <c r="B50" s="204"/>
      <c r="C50" s="447">
        <v>249</v>
      </c>
      <c r="D50" s="266">
        <v>249</v>
      </c>
    </row>
    <row r="51" spans="1:4" ht="12.75" customHeight="1">
      <c r="A51" s="232" t="s">
        <v>1328</v>
      </c>
      <c r="B51" s="222">
        <f>SUM(B48:B50)</f>
        <v>0</v>
      </c>
      <c r="C51" s="465">
        <f>SUM(C48:C50)</f>
        <v>1674</v>
      </c>
      <c r="D51" s="420">
        <f>SUM(D48:D50)</f>
        <v>1851</v>
      </c>
    </row>
    <row r="52" spans="1:4" ht="12.75" customHeight="1">
      <c r="A52" s="10"/>
      <c r="B52" s="204"/>
      <c r="C52" s="447"/>
      <c r="D52" s="266"/>
    </row>
    <row r="53" spans="1:4" ht="12.75" customHeight="1" thickBot="1">
      <c r="A53" s="27" t="s">
        <v>1283</v>
      </c>
      <c r="B53" s="215">
        <f>SUM(B30+B39+B45+B51)</f>
        <v>134420</v>
      </c>
      <c r="C53" s="467">
        <f>SUM(C30+C39+C45+C51)</f>
        <v>473122</v>
      </c>
      <c r="D53" s="421">
        <f>SUM(D30+D39+D45+D51)</f>
        <v>439112</v>
      </c>
    </row>
    <row r="54" spans="1:2" ht="13.5" thickTop="1">
      <c r="A54" s="4"/>
      <c r="B54" s="4"/>
    </row>
  </sheetData>
  <mergeCells count="3">
    <mergeCell ref="A4:D4"/>
    <mergeCell ref="A5:D5"/>
    <mergeCell ref="A6:D6"/>
  </mergeCells>
  <printOptions horizontalCentered="1"/>
  <pageMargins left="0.45" right="0.33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D5" sqref="D5"/>
    </sheetView>
  </sheetViews>
  <sheetFormatPr defaultColWidth="9.00390625" defaultRowHeight="12.75"/>
  <cols>
    <col min="1" max="1" width="49.625" style="0" customWidth="1"/>
    <col min="2" max="2" width="14.125" style="0" customWidth="1"/>
    <col min="3" max="3" width="16.75390625" style="0" customWidth="1"/>
    <col min="4" max="4" width="14.125" style="0" customWidth="1"/>
    <col min="5" max="5" width="16.25390625" style="0" bestFit="1" customWidth="1"/>
    <col min="6" max="6" width="16.125" style="0" customWidth="1"/>
    <col min="7" max="7" width="15.875" style="0" bestFit="1" customWidth="1"/>
    <col min="8" max="8" width="53.125" style="0" customWidth="1"/>
  </cols>
  <sheetData>
    <row r="1" spans="1:8" s="273" customFormat="1" ht="12.75">
      <c r="A1" s="1183" t="s">
        <v>1439</v>
      </c>
      <c r="B1" s="1183"/>
      <c r="C1" s="1183"/>
      <c r="D1" s="1183"/>
      <c r="E1" s="1183"/>
      <c r="F1" s="1183"/>
      <c r="G1" s="1183"/>
      <c r="H1" s="1183"/>
    </row>
    <row r="2" s="273" customFormat="1" ht="13.5" thickBot="1"/>
    <row r="3" spans="1:8" s="834" customFormat="1" ht="61.5" customHeight="1" thickBot="1" thickTop="1">
      <c r="A3" s="906" t="s">
        <v>1440</v>
      </c>
      <c r="B3" s="907" t="s">
        <v>1441</v>
      </c>
      <c r="C3" s="907" t="s">
        <v>1442</v>
      </c>
      <c r="D3" s="907" t="s">
        <v>1443</v>
      </c>
      <c r="E3" s="907" t="s">
        <v>1444</v>
      </c>
      <c r="F3" s="907" t="s">
        <v>1445</v>
      </c>
      <c r="G3" s="907" t="s">
        <v>1446</v>
      </c>
      <c r="H3" s="908" t="s">
        <v>1447</v>
      </c>
    </row>
    <row r="4" spans="1:8" s="273" customFormat="1" ht="25.5">
      <c r="A4" s="909" t="s">
        <v>1448</v>
      </c>
      <c r="B4" s="910">
        <v>21738</v>
      </c>
      <c r="C4" s="910">
        <v>21738</v>
      </c>
      <c r="D4" s="910">
        <v>19999</v>
      </c>
      <c r="E4" s="910">
        <v>19999</v>
      </c>
      <c r="F4" s="910">
        <v>5340</v>
      </c>
      <c r="G4" s="910">
        <v>1488</v>
      </c>
      <c r="H4" s="911" t="s">
        <v>1449</v>
      </c>
    </row>
    <row r="5" spans="1:8" s="273" customFormat="1" ht="38.25">
      <c r="A5" s="302" t="s">
        <v>1450</v>
      </c>
      <c r="B5" s="276">
        <v>434250</v>
      </c>
      <c r="C5" s="276">
        <v>230367</v>
      </c>
      <c r="D5" s="276">
        <v>142597</v>
      </c>
      <c r="E5" s="276">
        <v>142597</v>
      </c>
      <c r="F5" s="276">
        <v>49909</v>
      </c>
      <c r="G5" s="276">
        <v>11665</v>
      </c>
      <c r="H5" s="541" t="s">
        <v>1451</v>
      </c>
    </row>
    <row r="6" spans="1:8" s="273" customFormat="1" ht="25.5">
      <c r="A6" s="302" t="s">
        <v>1452</v>
      </c>
      <c r="B6" s="276">
        <v>534614</v>
      </c>
      <c r="C6" s="276">
        <v>494614</v>
      </c>
      <c r="D6" s="276">
        <v>238476</v>
      </c>
      <c r="E6" s="276">
        <v>238476</v>
      </c>
      <c r="F6" s="276">
        <v>83466</v>
      </c>
      <c r="G6" s="276">
        <v>5312</v>
      </c>
      <c r="H6" s="541" t="s">
        <v>1451</v>
      </c>
    </row>
    <row r="7" spans="1:8" s="273" customFormat="1" ht="25.5">
      <c r="A7" s="302" t="s">
        <v>1453</v>
      </c>
      <c r="B7" s="276">
        <v>674000</v>
      </c>
      <c r="C7" s="276">
        <v>656380</v>
      </c>
      <c r="D7" s="276">
        <v>534622</v>
      </c>
      <c r="E7" s="276">
        <v>534622</v>
      </c>
      <c r="F7" s="276">
        <v>167386</v>
      </c>
      <c r="G7" s="276">
        <v>1531</v>
      </c>
      <c r="H7" s="912" t="s">
        <v>1454</v>
      </c>
    </row>
    <row r="8" spans="1:8" s="273" customFormat="1" ht="25.5">
      <c r="A8" s="302" t="s">
        <v>1455</v>
      </c>
      <c r="B8" s="276">
        <v>84765</v>
      </c>
      <c r="C8" s="276">
        <v>61536</v>
      </c>
      <c r="D8" s="276">
        <v>52305</v>
      </c>
      <c r="E8" s="276">
        <v>52305</v>
      </c>
      <c r="F8" s="276"/>
      <c r="G8" s="276">
        <v>1254</v>
      </c>
      <c r="H8" s="541" t="s">
        <v>1456</v>
      </c>
    </row>
    <row r="9" spans="1:8" s="273" customFormat="1" ht="25.5">
      <c r="A9" s="302" t="s">
        <v>1457</v>
      </c>
      <c r="B9" s="276">
        <v>294385</v>
      </c>
      <c r="C9" s="276">
        <v>214385</v>
      </c>
      <c r="D9" s="276">
        <v>150069</v>
      </c>
      <c r="E9" s="289"/>
      <c r="F9" s="276"/>
      <c r="G9" s="276">
        <v>462</v>
      </c>
      <c r="H9" s="912" t="s">
        <v>1458</v>
      </c>
    </row>
    <row r="10" spans="1:8" s="273" customFormat="1" ht="38.25">
      <c r="A10" s="913" t="s">
        <v>1486</v>
      </c>
      <c r="B10" s="276">
        <v>33962</v>
      </c>
      <c r="C10" s="276">
        <v>33962</v>
      </c>
      <c r="D10" s="276">
        <v>30000</v>
      </c>
      <c r="E10" s="276"/>
      <c r="F10" s="276"/>
      <c r="G10" s="276">
        <v>600</v>
      </c>
      <c r="H10" s="541" t="s">
        <v>1487</v>
      </c>
    </row>
    <row r="11" spans="1:8" s="273" customFormat="1" ht="25.5">
      <c r="A11" s="913" t="s">
        <v>1488</v>
      </c>
      <c r="B11" s="276">
        <v>125211</v>
      </c>
      <c r="C11" s="276">
        <v>125211</v>
      </c>
      <c r="D11" s="276">
        <v>99994</v>
      </c>
      <c r="E11" s="276"/>
      <c r="F11" s="276"/>
      <c r="G11" s="276">
        <v>63</v>
      </c>
      <c r="H11" s="912" t="s">
        <v>1489</v>
      </c>
    </row>
    <row r="12" spans="1:8" s="273" customFormat="1" ht="38.25">
      <c r="A12" s="913" t="s">
        <v>1490</v>
      </c>
      <c r="B12" s="276">
        <v>149993</v>
      </c>
      <c r="C12" s="276">
        <v>149993</v>
      </c>
      <c r="D12" s="276">
        <v>134994</v>
      </c>
      <c r="E12" s="276"/>
      <c r="F12" s="276"/>
      <c r="G12" s="276">
        <v>2998</v>
      </c>
      <c r="H12" s="541" t="s">
        <v>1491</v>
      </c>
    </row>
    <row r="13" spans="1:8" s="273" customFormat="1" ht="25.5">
      <c r="A13" s="302" t="s">
        <v>1492</v>
      </c>
      <c r="B13" s="276">
        <v>48954</v>
      </c>
      <c r="C13" s="276">
        <v>48954</v>
      </c>
      <c r="D13" s="276">
        <v>44059</v>
      </c>
      <c r="E13" s="276"/>
      <c r="F13" s="276"/>
      <c r="G13" s="276">
        <v>725</v>
      </c>
      <c r="H13" s="912" t="s">
        <v>1491</v>
      </c>
    </row>
    <row r="14" spans="1:8" s="273" customFormat="1" ht="25.5">
      <c r="A14" s="913" t="s">
        <v>1493</v>
      </c>
      <c r="B14" s="276">
        <v>956383</v>
      </c>
      <c r="C14" s="276">
        <v>956383</v>
      </c>
      <c r="D14" s="276">
        <v>699427</v>
      </c>
      <c r="E14" s="276"/>
      <c r="F14" s="276"/>
      <c r="G14" s="276">
        <v>3137</v>
      </c>
      <c r="H14" s="541" t="s">
        <v>1491</v>
      </c>
    </row>
    <row r="15" spans="1:8" s="273" customFormat="1" ht="33" customHeight="1">
      <c r="A15" s="302" t="s">
        <v>1494</v>
      </c>
      <c r="B15" s="276">
        <v>417621</v>
      </c>
      <c r="C15" s="276">
        <v>417621</v>
      </c>
      <c r="D15" s="276">
        <v>318885</v>
      </c>
      <c r="E15" s="276"/>
      <c r="F15" s="276"/>
      <c r="G15" s="276">
        <v>2200</v>
      </c>
      <c r="H15" s="912" t="s">
        <v>1491</v>
      </c>
    </row>
    <row r="16" spans="1:8" s="273" customFormat="1" ht="38.25">
      <c r="A16" s="302" t="s">
        <v>1495</v>
      </c>
      <c r="B16" s="276"/>
      <c r="C16" s="276"/>
      <c r="D16" s="276"/>
      <c r="E16" s="276"/>
      <c r="F16" s="276"/>
      <c r="G16" s="276"/>
      <c r="H16" s="912" t="s">
        <v>1496</v>
      </c>
    </row>
    <row r="17" spans="1:8" s="273" customFormat="1" ht="25.5">
      <c r="A17" s="914" t="s">
        <v>1497</v>
      </c>
      <c r="B17" s="915">
        <v>2633</v>
      </c>
      <c r="C17" s="915">
        <v>2633</v>
      </c>
      <c r="D17" s="915">
        <v>2633</v>
      </c>
      <c r="E17" s="915">
        <v>2633</v>
      </c>
      <c r="F17" s="915">
        <v>2633</v>
      </c>
      <c r="G17" s="276">
        <v>2633</v>
      </c>
      <c r="H17" s="912" t="s">
        <v>1498</v>
      </c>
    </row>
    <row r="18" spans="1:8" s="273" customFormat="1" ht="26.25" thickBot="1">
      <c r="A18" s="916" t="s">
        <v>1497</v>
      </c>
      <c r="B18" s="291">
        <v>2882</v>
      </c>
      <c r="C18" s="291">
        <v>2882</v>
      </c>
      <c r="D18" s="291">
        <v>2882</v>
      </c>
      <c r="E18" s="291">
        <v>2882</v>
      </c>
      <c r="F18" s="291">
        <v>2882</v>
      </c>
      <c r="G18" s="291">
        <v>2882</v>
      </c>
      <c r="H18" s="917" t="s">
        <v>1499</v>
      </c>
    </row>
    <row r="19" spans="1:8" s="286" customFormat="1" ht="13.5" thickBot="1">
      <c r="A19" s="918" t="s">
        <v>1328</v>
      </c>
      <c r="B19" s="919">
        <f aca="true" t="shared" si="0" ref="B19:G19">SUM(B4:B18)</f>
        <v>3781391</v>
      </c>
      <c r="C19" s="919">
        <f t="shared" si="0"/>
        <v>3416659</v>
      </c>
      <c r="D19" s="919">
        <f t="shared" si="0"/>
        <v>2470942</v>
      </c>
      <c r="E19" s="919">
        <f t="shared" si="0"/>
        <v>993514</v>
      </c>
      <c r="F19" s="919">
        <f t="shared" si="0"/>
        <v>311616</v>
      </c>
      <c r="G19" s="919">
        <f t="shared" si="0"/>
        <v>36950</v>
      </c>
      <c r="H19" s="920"/>
    </row>
    <row r="20" spans="1:7" s="635" customFormat="1" ht="16.5" thickTop="1">
      <c r="A20" s="921"/>
      <c r="B20" s="754"/>
      <c r="C20" s="754"/>
      <c r="D20" s="754"/>
      <c r="E20" s="754"/>
      <c r="F20" s="754"/>
      <c r="G20" s="754"/>
    </row>
    <row r="21" spans="1:7" s="635" customFormat="1" ht="15.75">
      <c r="A21" s="921"/>
      <c r="B21" s="754"/>
      <c r="C21" s="754"/>
      <c r="D21" s="754"/>
      <c r="E21" s="754"/>
      <c r="F21" s="754"/>
      <c r="G21" s="754"/>
    </row>
    <row r="22" spans="1:7" s="635" customFormat="1" ht="15.75">
      <c r="A22" s="921"/>
      <c r="B22" s="754"/>
      <c r="C22" s="754"/>
      <c r="D22" s="754"/>
      <c r="E22" s="754"/>
      <c r="F22" s="754"/>
      <c r="G22" s="754"/>
    </row>
    <row r="23" spans="1:7" s="635" customFormat="1" ht="15.75">
      <c r="A23" s="921"/>
      <c r="B23" s="754"/>
      <c r="C23" s="754"/>
      <c r="D23" s="754"/>
      <c r="E23" s="754"/>
      <c r="F23" s="754"/>
      <c r="G23" s="754"/>
    </row>
    <row r="24" spans="1:7" s="635" customFormat="1" ht="15.75">
      <c r="A24" s="921"/>
      <c r="B24" s="754"/>
      <c r="C24" s="754"/>
      <c r="D24" s="754"/>
      <c r="E24" s="754"/>
      <c r="F24" s="754"/>
      <c r="G24" s="754"/>
    </row>
    <row r="25" spans="1:7" s="635" customFormat="1" ht="15.75">
      <c r="A25" s="921"/>
      <c r="B25" s="754"/>
      <c r="C25" s="754"/>
      <c r="D25" s="754"/>
      <c r="E25" s="754"/>
      <c r="F25" s="754"/>
      <c r="G25" s="754"/>
    </row>
    <row r="26" spans="1:7" s="635" customFormat="1" ht="15.75">
      <c r="A26" s="921"/>
      <c r="B26" s="754"/>
      <c r="C26" s="754"/>
      <c r="D26" s="754"/>
      <c r="E26" s="754"/>
      <c r="F26" s="754"/>
      <c r="G26" s="754"/>
    </row>
    <row r="27" spans="1:7" s="635" customFormat="1" ht="15.75">
      <c r="A27" s="921"/>
      <c r="B27" s="754"/>
      <c r="C27" s="754"/>
      <c r="D27" s="754"/>
      <c r="E27" s="754"/>
      <c r="F27" s="754"/>
      <c r="G27" s="754"/>
    </row>
    <row r="28" spans="1:7" s="635" customFormat="1" ht="15.75">
      <c r="A28" s="921"/>
      <c r="B28" s="754"/>
      <c r="C28" s="754"/>
      <c r="D28" s="754"/>
      <c r="E28" s="754"/>
      <c r="F28" s="754"/>
      <c r="G28" s="754"/>
    </row>
    <row r="29" spans="1:7" s="635" customFormat="1" ht="15.75">
      <c r="A29" s="921"/>
      <c r="B29" s="754"/>
      <c r="C29" s="754"/>
      <c r="D29" s="754"/>
      <c r="E29" s="754"/>
      <c r="F29" s="754"/>
      <c r="G29" s="754"/>
    </row>
    <row r="30" spans="1:7" s="635" customFormat="1" ht="15.75">
      <c r="A30" s="921"/>
      <c r="B30" s="754"/>
      <c r="C30" s="754"/>
      <c r="D30" s="754"/>
      <c r="E30" s="754"/>
      <c r="F30" s="754"/>
      <c r="G30" s="754"/>
    </row>
    <row r="31" spans="1:7" s="635" customFormat="1" ht="15.75">
      <c r="A31" s="921"/>
      <c r="B31" s="754"/>
      <c r="C31" s="754"/>
      <c r="D31" s="754"/>
      <c r="E31" s="754"/>
      <c r="F31" s="754"/>
      <c r="G31" s="754"/>
    </row>
    <row r="32" spans="1:7" s="635" customFormat="1" ht="15.75">
      <c r="A32" s="921"/>
      <c r="B32" s="754"/>
      <c r="C32" s="754"/>
      <c r="D32" s="754"/>
      <c r="E32" s="754"/>
      <c r="F32" s="754"/>
      <c r="G32" s="754"/>
    </row>
    <row r="33" spans="1:7" s="635" customFormat="1" ht="15.75">
      <c r="A33" s="921"/>
      <c r="B33" s="754"/>
      <c r="C33" s="754"/>
      <c r="D33" s="754"/>
      <c r="E33" s="754"/>
      <c r="F33" s="754"/>
      <c r="G33" s="754"/>
    </row>
    <row r="34" spans="1:7" s="635" customFormat="1" ht="15.75">
      <c r="A34" s="921"/>
      <c r="B34" s="754"/>
      <c r="C34" s="754"/>
      <c r="D34" s="754"/>
      <c r="E34" s="754"/>
      <c r="F34" s="754"/>
      <c r="G34" s="754"/>
    </row>
    <row r="35" spans="1:7" s="635" customFormat="1" ht="15.75">
      <c r="A35" s="921"/>
      <c r="B35" s="754"/>
      <c r="C35" s="754"/>
      <c r="D35" s="754"/>
      <c r="E35" s="754"/>
      <c r="F35" s="754"/>
      <c r="G35" s="754"/>
    </row>
    <row r="36" spans="1:7" s="635" customFormat="1" ht="15.75">
      <c r="A36" s="921"/>
      <c r="B36" s="754"/>
      <c r="C36" s="754"/>
      <c r="D36" s="754"/>
      <c r="E36" s="754"/>
      <c r="F36" s="754"/>
      <c r="G36" s="754"/>
    </row>
    <row r="37" spans="1:7" s="635" customFormat="1" ht="15.75">
      <c r="A37" s="921"/>
      <c r="B37" s="754"/>
      <c r="C37" s="754"/>
      <c r="D37" s="754"/>
      <c r="E37" s="754"/>
      <c r="F37" s="754"/>
      <c r="G37" s="754"/>
    </row>
    <row r="38" spans="1:7" s="635" customFormat="1" ht="15.75">
      <c r="A38" s="921"/>
      <c r="B38" s="754"/>
      <c r="C38" s="754"/>
      <c r="D38" s="754"/>
      <c r="E38" s="754"/>
      <c r="F38" s="754"/>
      <c r="G38" s="754"/>
    </row>
    <row r="39" spans="1:7" s="635" customFormat="1" ht="15.75">
      <c r="A39" s="921"/>
      <c r="B39" s="754"/>
      <c r="C39" s="754"/>
      <c r="D39" s="754"/>
      <c r="E39" s="754"/>
      <c r="F39" s="754"/>
      <c r="G39" s="754"/>
    </row>
    <row r="40" spans="1:7" s="635" customFormat="1" ht="15.75">
      <c r="A40" s="921"/>
      <c r="B40" s="754"/>
      <c r="C40" s="754"/>
      <c r="D40" s="754"/>
      <c r="E40" s="754"/>
      <c r="F40" s="754"/>
      <c r="G40" s="754"/>
    </row>
    <row r="41" spans="1:7" s="635" customFormat="1" ht="15.75">
      <c r="A41" s="921"/>
      <c r="B41" s="754"/>
      <c r="C41" s="754"/>
      <c r="D41" s="754"/>
      <c r="E41" s="754"/>
      <c r="F41" s="754"/>
      <c r="G41" s="754"/>
    </row>
    <row r="42" spans="1:7" s="635" customFormat="1" ht="15.75">
      <c r="A42" s="921"/>
      <c r="B42" s="754"/>
      <c r="C42" s="754"/>
      <c r="D42" s="754"/>
      <c r="E42" s="754"/>
      <c r="F42" s="754"/>
      <c r="G42" s="754"/>
    </row>
    <row r="43" spans="1:7" s="635" customFormat="1" ht="15.75">
      <c r="A43" s="921"/>
      <c r="B43" s="754"/>
      <c r="C43" s="754"/>
      <c r="D43" s="754"/>
      <c r="E43" s="754"/>
      <c r="F43" s="754"/>
      <c r="G43" s="754"/>
    </row>
    <row r="44" spans="1:7" s="635" customFormat="1" ht="15.75">
      <c r="A44" s="921"/>
      <c r="B44" s="754"/>
      <c r="C44" s="754"/>
      <c r="D44" s="754"/>
      <c r="E44" s="754"/>
      <c r="F44" s="754"/>
      <c r="G44" s="754"/>
    </row>
    <row r="45" spans="1:7" s="635" customFormat="1" ht="15.75">
      <c r="A45" s="921"/>
      <c r="B45" s="754"/>
      <c r="C45" s="754"/>
      <c r="D45" s="754"/>
      <c r="E45" s="754"/>
      <c r="F45" s="754"/>
      <c r="G45" s="754"/>
    </row>
    <row r="46" spans="1:7" s="635" customFormat="1" ht="15.75">
      <c r="A46" s="921"/>
      <c r="B46" s="754"/>
      <c r="C46" s="754"/>
      <c r="D46" s="754"/>
      <c r="E46" s="754"/>
      <c r="F46" s="754"/>
      <c r="G46" s="754"/>
    </row>
    <row r="47" spans="1:7" s="635" customFormat="1" ht="15.75">
      <c r="A47" s="921"/>
      <c r="B47" s="754"/>
      <c r="C47" s="754"/>
      <c r="D47" s="754"/>
      <c r="E47" s="754"/>
      <c r="F47" s="754"/>
      <c r="G47" s="754"/>
    </row>
    <row r="48" spans="1:7" s="635" customFormat="1" ht="15.75">
      <c r="A48" s="921"/>
      <c r="B48" s="754"/>
      <c r="C48" s="754"/>
      <c r="D48" s="754"/>
      <c r="E48" s="754"/>
      <c r="F48" s="754"/>
      <c r="G48" s="754"/>
    </row>
    <row r="49" spans="1:7" s="635" customFormat="1" ht="15.75">
      <c r="A49" s="921"/>
      <c r="B49" s="754"/>
      <c r="C49" s="754"/>
      <c r="D49" s="754"/>
      <c r="E49" s="754"/>
      <c r="F49" s="754"/>
      <c r="G49" s="754"/>
    </row>
    <row r="50" spans="1:7" s="635" customFormat="1" ht="15.75">
      <c r="A50" s="921"/>
      <c r="B50" s="754"/>
      <c r="C50" s="754"/>
      <c r="D50" s="754"/>
      <c r="E50" s="754"/>
      <c r="F50" s="754"/>
      <c r="G50" s="754"/>
    </row>
    <row r="51" spans="2:7" s="635" customFormat="1" ht="15.75">
      <c r="B51" s="754"/>
      <c r="C51" s="754"/>
      <c r="D51" s="754"/>
      <c r="E51" s="754"/>
      <c r="F51" s="754"/>
      <c r="G51" s="754"/>
    </row>
    <row r="52" spans="2:7" s="635" customFormat="1" ht="15.75">
      <c r="B52" s="754"/>
      <c r="C52" s="754"/>
      <c r="D52" s="754"/>
      <c r="E52" s="754"/>
      <c r="F52" s="754"/>
      <c r="G52" s="754"/>
    </row>
    <row r="53" spans="2:7" s="635" customFormat="1" ht="15.75">
      <c r="B53" s="754"/>
      <c r="C53" s="754"/>
      <c r="D53" s="754"/>
      <c r="E53" s="754"/>
      <c r="F53" s="754"/>
      <c r="G53" s="754"/>
    </row>
    <row r="54" spans="2:7" s="635" customFormat="1" ht="15.75">
      <c r="B54" s="754"/>
      <c r="C54" s="754"/>
      <c r="D54" s="754"/>
      <c r="E54" s="754"/>
      <c r="F54" s="754"/>
      <c r="G54" s="754"/>
    </row>
    <row r="55" spans="2:7" s="635" customFormat="1" ht="15.75">
      <c r="B55" s="754"/>
      <c r="C55" s="754"/>
      <c r="D55" s="754"/>
      <c r="E55" s="754"/>
      <c r="F55" s="754"/>
      <c r="G55" s="754"/>
    </row>
    <row r="56" spans="2:7" s="635" customFormat="1" ht="15.75">
      <c r="B56" s="754"/>
      <c r="C56" s="754"/>
      <c r="D56" s="754"/>
      <c r="E56" s="754"/>
      <c r="F56" s="754"/>
      <c r="G56" s="754"/>
    </row>
    <row r="57" spans="2:7" s="635" customFormat="1" ht="15.75">
      <c r="B57" s="754"/>
      <c r="C57" s="754"/>
      <c r="D57" s="754"/>
      <c r="E57" s="754"/>
      <c r="F57" s="754"/>
      <c r="G57" s="754"/>
    </row>
    <row r="58" s="635" customFormat="1" ht="15.75"/>
    <row r="59" s="635" customFormat="1" ht="15.75"/>
    <row r="60" s="635" customFormat="1" ht="15.75"/>
    <row r="61" s="635" customFormat="1" ht="15.75"/>
    <row r="62" s="635" customFormat="1" ht="15.75"/>
    <row r="63" s="635" customFormat="1" ht="15.75"/>
    <row r="64" s="635" customFormat="1" ht="15.75"/>
    <row r="65" s="635" customFormat="1" ht="15.75"/>
    <row r="66" s="635" customFormat="1" ht="15.75"/>
    <row r="67" s="635" customFormat="1" ht="15.75"/>
    <row r="68" s="635" customFormat="1" ht="15.75"/>
    <row r="69" s="635" customFormat="1" ht="15.75"/>
    <row r="70" s="635" customFormat="1" ht="15.75"/>
    <row r="71" s="635" customFormat="1" ht="15.75"/>
    <row r="72" s="635" customFormat="1" ht="15.75"/>
    <row r="73" s="635" customFormat="1" ht="15.75"/>
    <row r="74" s="635" customFormat="1" ht="15.75"/>
    <row r="75" s="635" customFormat="1" ht="15.75"/>
    <row r="76" s="635" customFormat="1" ht="15.75"/>
    <row r="77" s="635" customFormat="1" ht="15.75"/>
    <row r="78" s="635" customFormat="1" ht="15.75"/>
    <row r="79" s="635" customFormat="1" ht="15.75"/>
    <row r="80" s="635" customFormat="1" ht="15.75"/>
    <row r="81" s="635" customFormat="1" ht="15.75"/>
    <row r="82" s="635" customFormat="1" ht="15.75"/>
    <row r="83" s="635" customFormat="1" ht="15.75"/>
    <row r="84" s="635" customFormat="1" ht="15.75"/>
    <row r="85" s="635" customFormat="1" ht="15.75"/>
    <row r="86" s="635" customFormat="1" ht="15.75"/>
    <row r="87" s="635" customFormat="1" ht="15.75"/>
    <row r="88" s="635" customFormat="1" ht="15.75"/>
    <row r="89" s="635" customFormat="1" ht="15.75"/>
    <row r="90" s="635" customFormat="1" ht="15.75"/>
    <row r="91" s="635" customFormat="1" ht="15.75"/>
    <row r="92" s="635" customFormat="1" ht="15.75"/>
    <row r="93" s="635" customFormat="1" ht="15.75"/>
    <row r="94" s="635" customFormat="1" ht="15.75"/>
    <row r="95" s="635" customFormat="1" ht="15.75"/>
    <row r="96" s="635" customFormat="1" ht="15.75"/>
    <row r="97" s="635" customFormat="1" ht="15.75"/>
    <row r="98" s="635" customFormat="1" ht="15.75"/>
    <row r="99" s="635" customFormat="1" ht="15.75"/>
    <row r="100" s="635" customFormat="1" ht="15.75"/>
    <row r="101" s="635" customFormat="1" ht="15.75"/>
    <row r="102" s="635" customFormat="1" ht="15.75"/>
    <row r="103" s="635" customFormat="1" ht="15.75"/>
    <row r="104" s="635" customFormat="1" ht="15.75"/>
    <row r="105" s="635" customFormat="1" ht="15.75"/>
    <row r="106" s="635" customFormat="1" ht="15.75"/>
    <row r="107" s="635" customFormat="1" ht="15.75"/>
    <row r="108" s="635" customFormat="1" ht="15.75"/>
    <row r="109" s="635" customFormat="1" ht="15.75"/>
    <row r="110" s="635" customFormat="1" ht="15.75"/>
    <row r="111" s="635" customFormat="1" ht="15.75"/>
    <row r="112" s="635" customFormat="1" ht="15.75"/>
    <row r="113" s="635" customFormat="1" ht="15.75"/>
    <row r="114" s="635" customFormat="1" ht="15.75"/>
    <row r="115" s="635" customFormat="1" ht="15.75"/>
    <row r="116" s="635" customFormat="1" ht="15.75"/>
    <row r="117" s="635" customFormat="1" ht="15.75"/>
    <row r="118" s="635" customFormat="1" ht="15.75"/>
    <row r="119" s="635" customFormat="1" ht="15.75"/>
    <row r="120" s="635" customFormat="1" ht="15.75"/>
    <row r="121" s="635" customFormat="1" ht="15.75"/>
    <row r="122" s="635" customFormat="1" ht="15.75"/>
    <row r="123" s="635" customFormat="1" ht="15.75"/>
    <row r="124" s="635" customFormat="1" ht="15.75"/>
    <row r="125" s="635" customFormat="1" ht="15.75"/>
  </sheetData>
  <mergeCells count="1">
    <mergeCell ref="A1:H1"/>
  </mergeCells>
  <printOptions horizontalCentered="1"/>
  <pageMargins left="0.2" right="0.2" top="0.984251968503937" bottom="0.984251968503937" header="0.98" footer="0.984251968503937"/>
  <pageSetup horizontalDpi="600" verticalDpi="600" orientation="landscape" paperSize="9" scale="70" r:id="rId1"/>
  <headerFooter alignWithMargins="0">
    <oddHeader>&amp;L10/A. 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6">
      <selection activeCell="D40" sqref="D40"/>
    </sheetView>
  </sheetViews>
  <sheetFormatPr defaultColWidth="9.00390625" defaultRowHeight="12.75"/>
  <cols>
    <col min="1" max="1" width="50.375" style="190" customWidth="1"/>
    <col min="2" max="3" width="13.75390625" style="190" customWidth="1"/>
    <col min="4" max="4" width="14.125" style="256" customWidth="1"/>
    <col min="5" max="16384" width="9.125" style="190" customWidth="1"/>
  </cols>
  <sheetData>
    <row r="1" ht="12.75">
      <c r="A1" s="123" t="s">
        <v>775</v>
      </c>
    </row>
    <row r="2" ht="15.75">
      <c r="A2" s="32"/>
    </row>
    <row r="3" ht="15.75">
      <c r="A3" s="32"/>
    </row>
    <row r="4" spans="1:4" ht="15" customHeight="1">
      <c r="A4" s="1190" t="s">
        <v>976</v>
      </c>
      <c r="B4" s="1191"/>
      <c r="C4" s="1192"/>
      <c r="D4" s="1066"/>
    </row>
    <row r="5" spans="1:2" ht="15">
      <c r="A5" s="1184"/>
      <c r="B5" s="1185"/>
    </row>
    <row r="6" spans="1:2" ht="15">
      <c r="A6" s="71"/>
      <c r="B6" s="191"/>
    </row>
    <row r="7" spans="1:2" ht="14.25" customHeight="1" thickBot="1">
      <c r="A7" s="124"/>
      <c r="B7" s="191"/>
    </row>
    <row r="8" spans="1:4" ht="22.5" customHeight="1" thickTop="1">
      <c r="A8" s="1186" t="s">
        <v>1025</v>
      </c>
      <c r="B8" s="1058" t="s">
        <v>1026</v>
      </c>
      <c r="C8" s="1188"/>
      <c r="D8" s="1189"/>
    </row>
    <row r="9" spans="1:4" ht="15" customHeight="1">
      <c r="A9" s="1187"/>
      <c r="B9" s="189" t="s">
        <v>512</v>
      </c>
      <c r="C9" s="469" t="s">
        <v>903</v>
      </c>
      <c r="D9" s="468" t="s">
        <v>386</v>
      </c>
    </row>
    <row r="10" spans="1:4" ht="15" customHeight="1">
      <c r="A10" s="125" t="s">
        <v>996</v>
      </c>
      <c r="B10" s="525">
        <v>20</v>
      </c>
      <c r="C10" s="533">
        <v>20</v>
      </c>
      <c r="D10" s="450">
        <v>19.63</v>
      </c>
    </row>
    <row r="11" spans="1:4" ht="15" customHeight="1">
      <c r="A11" s="125" t="s">
        <v>997</v>
      </c>
      <c r="B11" s="526">
        <v>14</v>
      </c>
      <c r="C11" s="533">
        <v>14</v>
      </c>
      <c r="D11" s="450">
        <v>14.18</v>
      </c>
    </row>
    <row r="12" spans="1:4" ht="15" customHeight="1">
      <c r="A12" s="125" t="s">
        <v>1065</v>
      </c>
      <c r="B12" s="526">
        <v>7</v>
      </c>
      <c r="C12" s="533">
        <v>7</v>
      </c>
      <c r="D12" s="450">
        <v>7.31</v>
      </c>
    </row>
    <row r="13" spans="1:4" ht="15" customHeight="1">
      <c r="A13" s="125" t="s">
        <v>998</v>
      </c>
      <c r="B13" s="526">
        <v>10</v>
      </c>
      <c r="C13" s="533">
        <v>10</v>
      </c>
      <c r="D13" s="450">
        <v>10</v>
      </c>
    </row>
    <row r="14" spans="1:4" ht="15" customHeight="1">
      <c r="A14" s="125" t="s">
        <v>999</v>
      </c>
      <c r="B14" s="526">
        <v>16.25</v>
      </c>
      <c r="C14" s="533">
        <v>16.25</v>
      </c>
      <c r="D14" s="450">
        <v>16.02</v>
      </c>
    </row>
    <row r="15" spans="1:4" ht="15" customHeight="1">
      <c r="A15" s="125" t="s">
        <v>1027</v>
      </c>
      <c r="B15" s="526">
        <v>9</v>
      </c>
      <c r="C15" s="533">
        <v>9</v>
      </c>
      <c r="D15" s="450">
        <v>8.96</v>
      </c>
    </row>
    <row r="16" spans="1:4" ht="15" customHeight="1">
      <c r="A16" s="125" t="s">
        <v>1000</v>
      </c>
      <c r="B16" s="526">
        <v>15.5</v>
      </c>
      <c r="C16" s="533">
        <v>15.5</v>
      </c>
      <c r="D16" s="450">
        <v>15.5</v>
      </c>
    </row>
    <row r="17" spans="1:4" ht="15" customHeight="1">
      <c r="A17" s="125" t="s">
        <v>1066</v>
      </c>
      <c r="B17" s="526">
        <v>14</v>
      </c>
      <c r="C17" s="533">
        <v>14</v>
      </c>
      <c r="D17" s="450">
        <v>13.36</v>
      </c>
    </row>
    <row r="18" spans="1:4" ht="15" customHeight="1">
      <c r="A18" s="125" t="s">
        <v>1001</v>
      </c>
      <c r="B18" s="526">
        <v>3.5</v>
      </c>
      <c r="C18" s="533">
        <v>3.5</v>
      </c>
      <c r="D18" s="450">
        <v>3.45</v>
      </c>
    </row>
    <row r="19" spans="1:4" ht="15" customHeight="1">
      <c r="A19" s="125" t="s">
        <v>1067</v>
      </c>
      <c r="B19" s="526">
        <v>27</v>
      </c>
      <c r="C19" s="533">
        <v>27</v>
      </c>
      <c r="D19" s="450">
        <v>25.12</v>
      </c>
    </row>
    <row r="20" spans="1:4" ht="15" customHeight="1">
      <c r="A20" s="125" t="s">
        <v>50</v>
      </c>
      <c r="B20" s="526">
        <v>59.5</v>
      </c>
      <c r="C20" s="533">
        <v>60.5</v>
      </c>
      <c r="D20" s="450">
        <v>58.23</v>
      </c>
    </row>
    <row r="21" spans="1:4" ht="15" customHeight="1">
      <c r="A21" s="125" t="s">
        <v>987</v>
      </c>
      <c r="B21" s="526">
        <v>22</v>
      </c>
      <c r="C21" s="533">
        <v>22</v>
      </c>
      <c r="D21" s="450">
        <v>21.22</v>
      </c>
    </row>
    <row r="22" spans="1:4" ht="15" customHeight="1">
      <c r="A22" s="125" t="s">
        <v>1028</v>
      </c>
      <c r="B22" s="526">
        <v>77.5</v>
      </c>
      <c r="C22" s="533">
        <v>77.5</v>
      </c>
      <c r="D22" s="450">
        <v>74.11</v>
      </c>
    </row>
    <row r="23" spans="1:4" ht="15" customHeight="1">
      <c r="A23" s="125" t="s">
        <v>1029</v>
      </c>
      <c r="B23" s="526">
        <v>20</v>
      </c>
      <c r="C23" s="533">
        <v>20</v>
      </c>
      <c r="D23" s="450">
        <v>19.14</v>
      </c>
    </row>
    <row r="24" spans="1:4" ht="15" customHeight="1">
      <c r="A24" s="125" t="s">
        <v>1048</v>
      </c>
      <c r="B24" s="526"/>
      <c r="C24" s="533">
        <v>14</v>
      </c>
      <c r="D24" s="450">
        <v>12.48</v>
      </c>
    </row>
    <row r="25" spans="1:4" ht="15" customHeight="1">
      <c r="A25" s="125" t="s">
        <v>51</v>
      </c>
      <c r="B25" s="526">
        <v>21.5</v>
      </c>
      <c r="C25" s="533">
        <v>22</v>
      </c>
      <c r="D25" s="450">
        <v>14.7</v>
      </c>
    </row>
    <row r="26" spans="1:4" ht="15.75" customHeight="1">
      <c r="A26" s="125" t="s">
        <v>1030</v>
      </c>
      <c r="B26" s="526">
        <v>9.5</v>
      </c>
      <c r="C26" s="533">
        <v>9.5</v>
      </c>
      <c r="D26" s="450">
        <v>8.42</v>
      </c>
    </row>
    <row r="27" spans="1:4" ht="15" customHeight="1">
      <c r="A27" s="126" t="s">
        <v>1037</v>
      </c>
      <c r="B27" s="525">
        <v>50.5</v>
      </c>
      <c r="C27" s="533">
        <v>52.5</v>
      </c>
      <c r="D27" s="450">
        <v>47.31</v>
      </c>
    </row>
    <row r="28" spans="1:4" ht="15" customHeight="1">
      <c r="A28" s="125" t="s">
        <v>60</v>
      </c>
      <c r="B28" s="526">
        <v>10</v>
      </c>
      <c r="C28" s="533">
        <v>10</v>
      </c>
      <c r="D28" s="450">
        <v>9.65</v>
      </c>
    </row>
    <row r="29" spans="1:4" ht="15" customHeight="1">
      <c r="A29" s="127" t="s">
        <v>1031</v>
      </c>
      <c r="B29" s="527">
        <f>SUM(B10:B28)</f>
        <v>406.75</v>
      </c>
      <c r="C29" s="534">
        <f>SUM(C10:C28)</f>
        <v>424.25</v>
      </c>
      <c r="D29" s="451">
        <f>SUM(D10:D28)</f>
        <v>398.78999999999996</v>
      </c>
    </row>
    <row r="30" spans="1:4" ht="15" customHeight="1" thickBot="1">
      <c r="A30" s="192" t="s">
        <v>506</v>
      </c>
      <c r="B30" s="528">
        <v>200</v>
      </c>
      <c r="C30" s="1026">
        <v>200</v>
      </c>
      <c r="D30" s="452">
        <v>176</v>
      </c>
    </row>
    <row r="31" spans="1:4" ht="15" customHeight="1">
      <c r="A31" s="128" t="s">
        <v>1032</v>
      </c>
      <c r="B31" s="529">
        <f>SUM(B29:B30)</f>
        <v>606.75</v>
      </c>
      <c r="C31" s="1025">
        <f>SUM(C29:C30)</f>
        <v>624.25</v>
      </c>
      <c r="D31" s="453">
        <f>SUM(D29:D30)</f>
        <v>574.79</v>
      </c>
    </row>
    <row r="32" spans="1:4" ht="15" customHeight="1">
      <c r="A32" s="125"/>
      <c r="B32" s="526"/>
      <c r="C32" s="533"/>
      <c r="D32" s="450"/>
    </row>
    <row r="33" spans="1:4" ht="15" customHeight="1">
      <c r="A33" s="125" t="s">
        <v>1033</v>
      </c>
      <c r="B33" s="526"/>
      <c r="C33" s="533"/>
      <c r="D33" s="450"/>
    </row>
    <row r="34" spans="1:4" ht="15" customHeight="1">
      <c r="A34" s="125" t="s">
        <v>1035</v>
      </c>
      <c r="B34" s="526">
        <v>91</v>
      </c>
      <c r="C34" s="533">
        <v>96</v>
      </c>
      <c r="D34" s="450">
        <v>92.87</v>
      </c>
    </row>
    <row r="35" spans="1:4" ht="15" customHeight="1">
      <c r="A35" s="125" t="s">
        <v>1034</v>
      </c>
      <c r="B35" s="525">
        <v>3</v>
      </c>
      <c r="C35" s="533">
        <v>3</v>
      </c>
      <c r="D35" s="450">
        <v>3</v>
      </c>
    </row>
    <row r="36" spans="1:4" ht="15" customHeight="1" thickBot="1">
      <c r="A36" s="125" t="s">
        <v>1036</v>
      </c>
      <c r="B36" s="530">
        <v>4</v>
      </c>
      <c r="C36" s="1028">
        <v>4</v>
      </c>
      <c r="D36" s="454">
        <v>3.57</v>
      </c>
    </row>
    <row r="37" spans="1:4" s="258" customFormat="1" ht="15" customHeight="1">
      <c r="A37" s="257" t="s">
        <v>1328</v>
      </c>
      <c r="B37" s="531">
        <f>SUM(B33:B36)</f>
        <v>98</v>
      </c>
      <c r="C37" s="1027">
        <f>SUM(C34:C36)</f>
        <v>103</v>
      </c>
      <c r="D37" s="455">
        <f>SUM(D34:D36)</f>
        <v>99.44</v>
      </c>
    </row>
    <row r="38" spans="1:4" ht="15" customHeight="1" thickBot="1">
      <c r="A38" s="125"/>
      <c r="B38" s="530"/>
      <c r="C38" s="1028"/>
      <c r="D38" s="454"/>
    </row>
    <row r="39" spans="1:4" ht="15" customHeight="1" thickBot="1">
      <c r="A39" s="129" t="s">
        <v>1283</v>
      </c>
      <c r="B39" s="532">
        <f>SUM(B31+B37)</f>
        <v>704.75</v>
      </c>
      <c r="C39" s="1029">
        <f>SUM(C31+C37)</f>
        <v>727.25</v>
      </c>
      <c r="D39" s="456">
        <f>SUM(D31+D37)</f>
        <v>674.23</v>
      </c>
    </row>
    <row r="40" spans="1:2" ht="19.5" thickTop="1">
      <c r="A40" s="130"/>
      <c r="B40" s="193"/>
    </row>
    <row r="41" ht="15.75">
      <c r="A41" s="131"/>
    </row>
  </sheetData>
  <mergeCells count="4">
    <mergeCell ref="A5:B5"/>
    <mergeCell ref="A8:A9"/>
    <mergeCell ref="B8:D8"/>
    <mergeCell ref="A4:D4"/>
  </mergeCells>
  <printOptions/>
  <pageMargins left="0.56" right="0.47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24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98.00390625" style="273" customWidth="1"/>
    <col min="2" max="2" width="13.25390625" style="273" customWidth="1"/>
    <col min="3" max="4" width="11.75390625" style="273" customWidth="1"/>
    <col min="5" max="16384" width="9.125" style="273" customWidth="1"/>
  </cols>
  <sheetData>
    <row r="1" ht="15">
      <c r="A1" s="812" t="s">
        <v>1201</v>
      </c>
    </row>
    <row r="2" spans="1:4" ht="12.75">
      <c r="A2" s="1193" t="s">
        <v>776</v>
      </c>
      <c r="B2" s="1193"/>
      <c r="C2" s="1066"/>
      <c r="D2" s="1066"/>
    </row>
    <row r="3" spans="1:4" ht="12.75">
      <c r="A3" s="1193" t="s">
        <v>52</v>
      </c>
      <c r="B3" s="1193"/>
      <c r="C3" s="1066"/>
      <c r="D3" s="1066"/>
    </row>
    <row r="4" spans="1:4" ht="12.75">
      <c r="A4" s="1193" t="s">
        <v>71</v>
      </c>
      <c r="B4" s="1193"/>
      <c r="C4" s="1066"/>
      <c r="D4" s="1066"/>
    </row>
    <row r="5" ht="12.75" customHeight="1" thickBot="1"/>
    <row r="6" spans="1:4" ht="13.5" thickTop="1">
      <c r="A6" s="391" t="s">
        <v>777</v>
      </c>
      <c r="B6" s="392" t="s">
        <v>512</v>
      </c>
      <c r="C6" s="535" t="s">
        <v>903</v>
      </c>
      <c r="D6" s="813" t="s">
        <v>386</v>
      </c>
    </row>
    <row r="7" spans="1:4" ht="12.75">
      <c r="A7" s="393" t="s">
        <v>1202</v>
      </c>
      <c r="B7" s="394">
        <v>2200000</v>
      </c>
      <c r="C7" s="395">
        <v>2200000</v>
      </c>
      <c r="D7" s="821">
        <v>2206789</v>
      </c>
    </row>
    <row r="8" spans="1:4" ht="12.75">
      <c r="A8" s="393" t="s">
        <v>1203</v>
      </c>
      <c r="B8" s="394"/>
      <c r="C8" s="395"/>
      <c r="D8" s="821">
        <v>-2201454</v>
      </c>
    </row>
    <row r="9" spans="1:4" ht="12.75">
      <c r="A9" s="393" t="s">
        <v>1204</v>
      </c>
      <c r="B9" s="394"/>
      <c r="C9" s="395"/>
      <c r="D9" s="821">
        <v>2307719</v>
      </c>
    </row>
    <row r="10" spans="1:4" ht="12.75">
      <c r="A10" s="393" t="s">
        <v>778</v>
      </c>
      <c r="B10" s="394">
        <v>22000</v>
      </c>
      <c r="C10" s="395">
        <v>0</v>
      </c>
      <c r="D10" s="821"/>
    </row>
    <row r="11" spans="1:4" ht="12.75">
      <c r="A11" s="393" t="s">
        <v>779</v>
      </c>
      <c r="B11" s="394">
        <v>38000</v>
      </c>
      <c r="C11" s="395">
        <v>0</v>
      </c>
      <c r="D11" s="821"/>
    </row>
    <row r="12" spans="1:4" ht="12.75">
      <c r="A12" s="393" t="s">
        <v>907</v>
      </c>
      <c r="B12" s="394">
        <v>140000</v>
      </c>
      <c r="C12" s="472">
        <v>140000</v>
      </c>
      <c r="D12" s="821">
        <v>208022</v>
      </c>
    </row>
    <row r="13" spans="1:4" ht="12.75">
      <c r="A13" s="393" t="s">
        <v>433</v>
      </c>
      <c r="B13" s="394"/>
      <c r="C13" s="395">
        <v>15661</v>
      </c>
      <c r="D13" s="821"/>
    </row>
    <row r="14" spans="1:4" ht="12.75">
      <c r="A14" s="393" t="s">
        <v>476</v>
      </c>
      <c r="B14" s="394"/>
      <c r="C14" s="395">
        <v>83466</v>
      </c>
      <c r="D14" s="821"/>
    </row>
    <row r="15" spans="1:4" ht="12.75">
      <c r="A15" s="393" t="s">
        <v>477</v>
      </c>
      <c r="B15" s="394"/>
      <c r="C15" s="395">
        <v>49909</v>
      </c>
      <c r="D15" s="821"/>
    </row>
    <row r="16" spans="1:4" ht="12.75">
      <c r="A16" s="393" t="s">
        <v>40</v>
      </c>
      <c r="B16" s="394"/>
      <c r="C16" s="395">
        <v>484725</v>
      </c>
      <c r="D16" s="821"/>
    </row>
    <row r="17" spans="1:4" ht="12.75">
      <c r="A17" s="393" t="s">
        <v>1112</v>
      </c>
      <c r="B17" s="394"/>
      <c r="C17" s="395">
        <v>167386</v>
      </c>
      <c r="D17" s="821"/>
    </row>
    <row r="18" spans="1:4" ht="12.75">
      <c r="A18" s="393" t="s">
        <v>1205</v>
      </c>
      <c r="B18" s="394"/>
      <c r="C18" s="395"/>
      <c r="D18" s="821">
        <v>38567</v>
      </c>
    </row>
    <row r="19" spans="1:4" ht="12.75">
      <c r="A19" s="393" t="s">
        <v>1206</v>
      </c>
      <c r="B19" s="394"/>
      <c r="C19" s="395"/>
      <c r="D19" s="821">
        <v>46</v>
      </c>
    </row>
    <row r="20" spans="1:4" ht="13.5">
      <c r="A20" s="396" t="s">
        <v>1328</v>
      </c>
      <c r="B20" s="397">
        <f>SUM(B7:B19)</f>
        <v>2400000</v>
      </c>
      <c r="C20" s="397">
        <f>SUM(C7:C19)</f>
        <v>3141147</v>
      </c>
      <c r="D20" s="823">
        <f>SUM(D7:D19)</f>
        <v>2559689</v>
      </c>
    </row>
    <row r="21" spans="1:4" ht="12" customHeight="1" thickBot="1">
      <c r="A21" s="458"/>
      <c r="B21" s="459"/>
      <c r="C21" s="536"/>
      <c r="D21" s="822"/>
    </row>
    <row r="22" spans="1:4" ht="39" customHeight="1">
      <c r="A22" s="460" t="s">
        <v>1207</v>
      </c>
      <c r="B22" s="461" t="s">
        <v>780</v>
      </c>
      <c r="C22" s="537" t="s">
        <v>903</v>
      </c>
      <c r="D22" s="814" t="s">
        <v>386</v>
      </c>
    </row>
    <row r="23" spans="1:4" ht="12.75">
      <c r="A23" s="393" t="s">
        <v>1208</v>
      </c>
      <c r="B23" s="400"/>
      <c r="C23" s="395"/>
      <c r="D23" s="821">
        <v>70218</v>
      </c>
    </row>
    <row r="24" spans="1:4" ht="12.75">
      <c r="A24" s="393" t="s">
        <v>1209</v>
      </c>
      <c r="B24" s="400"/>
      <c r="C24" s="395"/>
      <c r="D24" s="821">
        <v>9323</v>
      </c>
    </row>
    <row r="25" spans="1:4" ht="12.75">
      <c r="A25" s="829" t="s">
        <v>1328</v>
      </c>
      <c r="B25" s="400">
        <f>SUM(B23:B24)</f>
        <v>0</v>
      </c>
      <c r="C25" s="400">
        <f>SUM(C23:C24)</f>
        <v>0</v>
      </c>
      <c r="D25" s="827">
        <f>SUM(D23:D24)</f>
        <v>79541</v>
      </c>
    </row>
    <row r="26" spans="1:4" ht="12.75">
      <c r="A26" s="399"/>
      <c r="B26" s="400"/>
      <c r="C26" s="395"/>
      <c r="D26" s="821"/>
    </row>
    <row r="27" spans="1:4" s="286" customFormat="1" ht="12.75">
      <c r="A27" s="404" t="s">
        <v>1211</v>
      </c>
      <c r="B27" s="433"/>
      <c r="C27" s="401"/>
      <c r="D27" s="824"/>
    </row>
    <row r="28" spans="1:4" ht="12.75">
      <c r="A28" s="402" t="s">
        <v>666</v>
      </c>
      <c r="B28" s="398"/>
      <c r="C28" s="395"/>
      <c r="D28" s="821"/>
    </row>
    <row r="29" spans="1:4" ht="12.75">
      <c r="A29" s="393" t="s">
        <v>658</v>
      </c>
      <c r="B29" s="394">
        <v>41676</v>
      </c>
      <c r="C29" s="395">
        <v>41676</v>
      </c>
      <c r="D29" s="821">
        <v>1150</v>
      </c>
    </row>
    <row r="30" spans="1:4" ht="12.75">
      <c r="A30" s="393" t="s">
        <v>659</v>
      </c>
      <c r="B30" s="394">
        <v>10000</v>
      </c>
      <c r="C30" s="395">
        <v>132</v>
      </c>
      <c r="D30" s="821"/>
    </row>
    <row r="31" spans="1:4" ht="12.75">
      <c r="A31" s="393" t="s">
        <v>785</v>
      </c>
      <c r="B31" s="394">
        <v>2500</v>
      </c>
      <c r="C31" s="395">
        <v>2500</v>
      </c>
      <c r="D31" s="821">
        <v>2500</v>
      </c>
    </row>
    <row r="32" spans="1:4" ht="12.75">
      <c r="A32" s="393" t="s">
        <v>783</v>
      </c>
      <c r="B32" s="394"/>
      <c r="C32" s="395">
        <v>6000</v>
      </c>
      <c r="D32" s="821">
        <v>3940</v>
      </c>
    </row>
    <row r="33" spans="1:4" ht="12.75">
      <c r="A33" s="393" t="s">
        <v>784</v>
      </c>
      <c r="B33" s="394"/>
      <c r="C33" s="395">
        <v>9000</v>
      </c>
      <c r="D33" s="821">
        <v>8788</v>
      </c>
    </row>
    <row r="34" spans="1:4" ht="12.75">
      <c r="A34" s="815" t="s">
        <v>1328</v>
      </c>
      <c r="B34" s="816">
        <f>SUM(B29:B33)</f>
        <v>54176</v>
      </c>
      <c r="C34" s="817">
        <v>59308</v>
      </c>
      <c r="D34" s="825">
        <f>SUM(D29:D33)</f>
        <v>16378</v>
      </c>
    </row>
    <row r="35" spans="1:4" ht="12.75">
      <c r="A35" s="393"/>
      <c r="B35" s="398"/>
      <c r="C35" s="395"/>
      <c r="D35" s="821"/>
    </row>
    <row r="36" spans="1:4" ht="12.75">
      <c r="A36" s="402" t="s">
        <v>644</v>
      </c>
      <c r="B36" s="398"/>
      <c r="C36" s="395"/>
      <c r="D36" s="821"/>
    </row>
    <row r="37" spans="1:4" ht="12.75">
      <c r="A37" s="393" t="s">
        <v>53</v>
      </c>
      <c r="B37" s="394">
        <v>60000</v>
      </c>
      <c r="C37" s="395">
        <v>60000</v>
      </c>
      <c r="D37" s="821">
        <v>27168</v>
      </c>
    </row>
    <row r="38" spans="1:4" ht="12.75">
      <c r="A38" s="393" t="s">
        <v>668</v>
      </c>
      <c r="B38" s="394">
        <v>50000</v>
      </c>
      <c r="C38" s="395">
        <v>50000</v>
      </c>
      <c r="D38" s="821"/>
    </row>
    <row r="39" spans="1:4" ht="12.75">
      <c r="A39" s="393" t="s">
        <v>669</v>
      </c>
      <c r="B39" s="394">
        <v>20000</v>
      </c>
      <c r="C39" s="395">
        <v>20000</v>
      </c>
      <c r="D39" s="821">
        <v>3296</v>
      </c>
    </row>
    <row r="40" spans="1:4" ht="12.75">
      <c r="A40" s="393" t="s">
        <v>670</v>
      </c>
      <c r="B40" s="394">
        <v>12000</v>
      </c>
      <c r="C40" s="395">
        <v>12000</v>
      </c>
      <c r="D40" s="821">
        <v>89</v>
      </c>
    </row>
    <row r="41" spans="1:4" ht="12.75">
      <c r="A41" s="393" t="s">
        <v>786</v>
      </c>
      <c r="B41" s="394">
        <v>9600</v>
      </c>
      <c r="C41" s="395">
        <v>9600</v>
      </c>
      <c r="D41" s="821">
        <v>5136</v>
      </c>
    </row>
    <row r="42" spans="1:4" ht="12.75">
      <c r="A42" s="393" t="s">
        <v>1383</v>
      </c>
      <c r="B42" s="394">
        <v>346948</v>
      </c>
      <c r="C42" s="395">
        <v>231400</v>
      </c>
      <c r="D42" s="821">
        <v>231400</v>
      </c>
    </row>
    <row r="43" spans="1:4" ht="12.75">
      <c r="A43" s="393" t="s">
        <v>1386</v>
      </c>
      <c r="B43" s="394">
        <v>3000</v>
      </c>
      <c r="C43" s="395">
        <v>3000</v>
      </c>
      <c r="D43" s="821"/>
    </row>
    <row r="44" spans="1:4" ht="12.75">
      <c r="A44" s="393" t="s">
        <v>1390</v>
      </c>
      <c r="B44" s="394">
        <v>1500</v>
      </c>
      <c r="C44" s="395">
        <v>1500</v>
      </c>
      <c r="D44" s="821"/>
    </row>
    <row r="45" spans="1:4" ht="12.75">
      <c r="A45" s="393" t="s">
        <v>1395</v>
      </c>
      <c r="B45" s="394">
        <v>92252</v>
      </c>
      <c r="C45" s="395">
        <v>211131</v>
      </c>
      <c r="D45" s="821">
        <v>12538</v>
      </c>
    </row>
    <row r="46" spans="1:4" ht="12.75">
      <c r="A46" s="393" t="s">
        <v>1397</v>
      </c>
      <c r="B46" s="394">
        <v>5000</v>
      </c>
      <c r="C46" s="395">
        <v>5000</v>
      </c>
      <c r="D46" s="821"/>
    </row>
    <row r="47" spans="1:4" ht="12.75">
      <c r="A47" s="393" t="s">
        <v>642</v>
      </c>
      <c r="B47" s="394">
        <v>50000</v>
      </c>
      <c r="C47" s="395">
        <f>125000+167386</f>
        <v>292386</v>
      </c>
      <c r="D47" s="821">
        <v>8254</v>
      </c>
    </row>
    <row r="48" spans="1:4" ht="12.75">
      <c r="A48" s="393" t="s">
        <v>549</v>
      </c>
      <c r="B48" s="394">
        <v>25000</v>
      </c>
      <c r="C48" s="395">
        <v>0</v>
      </c>
      <c r="D48" s="821"/>
    </row>
    <row r="49" spans="1:4" ht="12.75">
      <c r="A49" s="393" t="s">
        <v>645</v>
      </c>
      <c r="B49" s="394">
        <v>102750</v>
      </c>
      <c r="C49" s="395">
        <f>99448+3302</f>
        <v>102750</v>
      </c>
      <c r="D49" s="821">
        <v>8874</v>
      </c>
    </row>
    <row r="50" spans="1:4" ht="12.75">
      <c r="A50" s="393" t="s">
        <v>643</v>
      </c>
      <c r="B50" s="394">
        <v>2200</v>
      </c>
      <c r="C50" s="395">
        <v>4000</v>
      </c>
      <c r="D50" s="821">
        <v>675</v>
      </c>
    </row>
    <row r="51" spans="1:4" ht="12.75">
      <c r="A51" s="393" t="s">
        <v>10</v>
      </c>
      <c r="B51" s="394"/>
      <c r="C51" s="395">
        <v>22740</v>
      </c>
      <c r="D51" s="821">
        <v>22740</v>
      </c>
    </row>
    <row r="52" spans="1:4" ht="12.75">
      <c r="A52" s="393" t="s">
        <v>11</v>
      </c>
      <c r="B52" s="394"/>
      <c r="C52" s="395">
        <v>25000</v>
      </c>
      <c r="D52" s="821">
        <v>25000</v>
      </c>
    </row>
    <row r="53" spans="1:4" ht="12.75">
      <c r="A53" s="393" t="s">
        <v>799</v>
      </c>
      <c r="B53" s="394"/>
      <c r="C53" s="395">
        <v>2625</v>
      </c>
      <c r="D53" s="821"/>
    </row>
    <row r="54" spans="1:4" ht="12.75">
      <c r="A54" s="403" t="s">
        <v>434</v>
      </c>
      <c r="B54" s="394"/>
      <c r="C54" s="395">
        <v>1015</v>
      </c>
      <c r="D54" s="821">
        <v>1015</v>
      </c>
    </row>
    <row r="55" spans="1:4" ht="12.75">
      <c r="A55" s="403" t="s">
        <v>435</v>
      </c>
      <c r="B55" s="394"/>
      <c r="C55" s="395">
        <v>10000</v>
      </c>
      <c r="D55" s="821"/>
    </row>
    <row r="56" spans="1:4" ht="12.75">
      <c r="A56" s="403" t="s">
        <v>439</v>
      </c>
      <c r="B56" s="394"/>
      <c r="C56" s="395">
        <v>10000</v>
      </c>
      <c r="D56" s="821">
        <v>8559</v>
      </c>
    </row>
    <row r="57" spans="1:4" ht="12.75">
      <c r="A57" s="403" t="s">
        <v>440</v>
      </c>
      <c r="B57" s="394"/>
      <c r="C57" s="395">
        <v>14000</v>
      </c>
      <c r="D57" s="821">
        <v>3137</v>
      </c>
    </row>
    <row r="58" spans="1:4" ht="12.75">
      <c r="A58" s="403" t="s">
        <v>441</v>
      </c>
      <c r="B58" s="394"/>
      <c r="C58" s="395">
        <v>43875</v>
      </c>
      <c r="D58" s="821">
        <v>35100</v>
      </c>
    </row>
    <row r="59" spans="1:4" ht="12.75">
      <c r="A59" s="403" t="s">
        <v>442</v>
      </c>
      <c r="B59" s="394"/>
      <c r="C59" s="395">
        <v>7200</v>
      </c>
      <c r="D59" s="821">
        <v>2200</v>
      </c>
    </row>
    <row r="60" spans="1:4" ht="12.75">
      <c r="A60" s="403" t="s">
        <v>443</v>
      </c>
      <c r="B60" s="394"/>
      <c r="C60" s="395">
        <v>11100</v>
      </c>
      <c r="D60" s="821"/>
    </row>
    <row r="61" spans="1:4" ht="12.75">
      <c r="A61" s="403" t="s">
        <v>478</v>
      </c>
      <c r="B61" s="394"/>
      <c r="C61" s="395">
        <v>1000</v>
      </c>
      <c r="D61" s="821"/>
    </row>
    <row r="62" spans="1:4" ht="12.75">
      <c r="A62" s="403" t="s">
        <v>479</v>
      </c>
      <c r="B62" s="394"/>
      <c r="C62" s="395">
        <v>220000</v>
      </c>
      <c r="D62" s="821"/>
    </row>
    <row r="63" spans="1:4" ht="12.75">
      <c r="A63" s="403" t="s">
        <v>480</v>
      </c>
      <c r="B63" s="394"/>
      <c r="C63" s="395">
        <v>8435</v>
      </c>
      <c r="D63" s="821">
        <v>460</v>
      </c>
    </row>
    <row r="64" spans="1:4" ht="12.75">
      <c r="A64" s="403" t="s">
        <v>481</v>
      </c>
      <c r="B64" s="394"/>
      <c r="C64" s="395">
        <v>3300</v>
      </c>
      <c r="D64" s="821">
        <v>725</v>
      </c>
    </row>
    <row r="65" spans="1:4" ht="12.75">
      <c r="A65" s="393" t="s">
        <v>41</v>
      </c>
      <c r="B65" s="394"/>
      <c r="C65" s="395">
        <f>484725-384725</f>
        <v>100000</v>
      </c>
      <c r="D65" s="821"/>
    </row>
    <row r="66" spans="1:4" ht="12.75">
      <c r="A66" s="403" t="s">
        <v>552</v>
      </c>
      <c r="B66" s="394"/>
      <c r="C66" s="395">
        <v>5000</v>
      </c>
      <c r="D66" s="821">
        <v>1254</v>
      </c>
    </row>
    <row r="67" spans="1:4" ht="12.75">
      <c r="A67" s="393" t="s">
        <v>1039</v>
      </c>
      <c r="B67" s="394"/>
      <c r="C67" s="395">
        <v>5000</v>
      </c>
      <c r="D67" s="821">
        <v>5598</v>
      </c>
    </row>
    <row r="68" spans="1:4" ht="12.75">
      <c r="A68" s="393" t="s">
        <v>1151</v>
      </c>
      <c r="B68" s="394"/>
      <c r="C68" s="395">
        <v>3000</v>
      </c>
      <c r="D68" s="821">
        <v>2884</v>
      </c>
    </row>
    <row r="69" spans="1:4" ht="12.75">
      <c r="A69" s="403" t="s">
        <v>1389</v>
      </c>
      <c r="B69" s="394"/>
      <c r="C69" s="395">
        <v>5000</v>
      </c>
      <c r="D69" s="821"/>
    </row>
    <row r="70" spans="1:4" ht="12.75">
      <c r="A70" s="403" t="s">
        <v>1398</v>
      </c>
      <c r="B70" s="394"/>
      <c r="C70" s="395">
        <v>5000</v>
      </c>
      <c r="D70" s="821"/>
    </row>
    <row r="71" spans="1:4" ht="12.75">
      <c r="A71" s="819" t="s">
        <v>553</v>
      </c>
      <c r="B71" s="394"/>
      <c r="C71" s="395">
        <v>7000</v>
      </c>
      <c r="D71" s="821"/>
    </row>
    <row r="72" spans="1:4" ht="12.75">
      <c r="A72" s="403" t="s">
        <v>1137</v>
      </c>
      <c r="B72" s="394"/>
      <c r="C72" s="395">
        <v>10000</v>
      </c>
      <c r="D72" s="821">
        <v>10000</v>
      </c>
    </row>
    <row r="73" spans="1:4" ht="12.75">
      <c r="A73" s="820" t="s">
        <v>1138</v>
      </c>
      <c r="B73" s="394"/>
      <c r="C73" s="395">
        <v>3000</v>
      </c>
      <c r="D73" s="821">
        <v>63</v>
      </c>
    </row>
    <row r="74" spans="1:4" ht="12.75">
      <c r="A74" s="820" t="s">
        <v>1139</v>
      </c>
      <c r="B74" s="394"/>
      <c r="C74" s="395">
        <v>3000</v>
      </c>
      <c r="D74" s="821"/>
    </row>
    <row r="75" spans="1:4" ht="12.75">
      <c r="A75" s="820" t="s">
        <v>1140</v>
      </c>
      <c r="B75" s="394"/>
      <c r="C75" s="395">
        <v>5000</v>
      </c>
      <c r="D75" s="821"/>
    </row>
    <row r="76" spans="1:4" ht="12.75">
      <c r="A76" s="403" t="s">
        <v>1141</v>
      </c>
      <c r="B76" s="394"/>
      <c r="C76" s="395">
        <v>3000</v>
      </c>
      <c r="D76" s="821">
        <v>3000</v>
      </c>
    </row>
    <row r="77" spans="1:4" ht="12.75">
      <c r="A77" s="403" t="s">
        <v>438</v>
      </c>
      <c r="B77" s="394"/>
      <c r="C77" s="395">
        <v>1000</v>
      </c>
      <c r="D77" s="821"/>
    </row>
    <row r="78" spans="1:4" ht="12.75">
      <c r="A78" s="815" t="s">
        <v>1328</v>
      </c>
      <c r="B78" s="816">
        <f>SUM(B37:B50)</f>
        <v>780250</v>
      </c>
      <c r="C78" s="817">
        <f>SUM(C37:C77)</f>
        <v>1538057</v>
      </c>
      <c r="D78" s="825">
        <f>SUM(D37:D77)</f>
        <v>419165</v>
      </c>
    </row>
    <row r="79" spans="1:4" ht="12.75">
      <c r="A79" s="404"/>
      <c r="B79" s="400"/>
      <c r="C79" s="395"/>
      <c r="D79" s="821"/>
    </row>
    <row r="80" spans="1:4" ht="12.75">
      <c r="A80" s="404" t="s">
        <v>57</v>
      </c>
      <c r="B80" s="400">
        <f>SUM(B34+B78)</f>
        <v>834426</v>
      </c>
      <c r="C80" s="401">
        <f>SUM(C34+C78)</f>
        <v>1597365</v>
      </c>
      <c r="D80" s="824">
        <f>SUM(D34+D78)</f>
        <v>435543</v>
      </c>
    </row>
    <row r="81" spans="1:4" ht="12.75">
      <c r="A81" s="393"/>
      <c r="B81" s="398"/>
      <c r="C81" s="395"/>
      <c r="D81" s="821"/>
    </row>
    <row r="82" spans="1:4" ht="12.75">
      <c r="A82" s="439" t="s">
        <v>787</v>
      </c>
      <c r="B82" s="440"/>
      <c r="C82" s="395"/>
      <c r="D82" s="821"/>
    </row>
    <row r="83" spans="1:4" ht="12.75">
      <c r="A83" s="402" t="s">
        <v>666</v>
      </c>
      <c r="B83" s="398"/>
      <c r="C83" s="395"/>
      <c r="D83" s="821"/>
    </row>
    <row r="84" spans="1:4" ht="12.75">
      <c r="A84" s="393" t="s">
        <v>653</v>
      </c>
      <c r="B84" s="394">
        <v>25256</v>
      </c>
      <c r="C84" s="395">
        <f>44853-20</f>
        <v>44833</v>
      </c>
      <c r="D84" s="821">
        <v>43644</v>
      </c>
    </row>
    <row r="85" spans="1:4" ht="12.75">
      <c r="A85" s="815" t="s">
        <v>1328</v>
      </c>
      <c r="B85" s="816">
        <f>SUM(B84)</f>
        <v>25256</v>
      </c>
      <c r="C85" s="818">
        <f>SUM(C84)</f>
        <v>44833</v>
      </c>
      <c r="D85" s="826">
        <f>SUM(D84)</f>
        <v>43644</v>
      </c>
    </row>
    <row r="86" spans="1:4" ht="13.5" thickBot="1">
      <c r="A86" s="1018"/>
      <c r="B86" s="1019"/>
      <c r="C86" s="1020"/>
      <c r="D86" s="1021"/>
    </row>
    <row r="87" spans="1:4" ht="13.5" thickTop="1">
      <c r="A87" s="1014" t="s">
        <v>644</v>
      </c>
      <c r="B87" s="1015"/>
      <c r="C87" s="1016"/>
      <c r="D87" s="1017"/>
    </row>
    <row r="88" spans="1:4" ht="12.75">
      <c r="A88" s="393" t="s">
        <v>655</v>
      </c>
      <c r="B88" s="394">
        <v>32000</v>
      </c>
      <c r="C88" s="395">
        <v>32000</v>
      </c>
      <c r="D88" s="821"/>
    </row>
    <row r="89" spans="1:4" ht="12.75">
      <c r="A89" s="393" t="s">
        <v>12</v>
      </c>
      <c r="B89" s="394"/>
      <c r="C89" s="395">
        <v>23300</v>
      </c>
      <c r="D89" s="821">
        <v>7359</v>
      </c>
    </row>
    <row r="90" spans="1:4" ht="12.75">
      <c r="A90" s="403" t="s">
        <v>460</v>
      </c>
      <c r="B90" s="394"/>
      <c r="C90" s="395">
        <v>239</v>
      </c>
      <c r="D90" s="821">
        <v>239</v>
      </c>
    </row>
    <row r="91" spans="1:4" ht="12.75">
      <c r="A91" s="403" t="s">
        <v>461</v>
      </c>
      <c r="B91" s="394"/>
      <c r="C91" s="395">
        <v>1029</v>
      </c>
      <c r="D91" s="821">
        <v>1029</v>
      </c>
    </row>
    <row r="92" spans="1:4" ht="12.75">
      <c r="A92" s="403" t="s">
        <v>474</v>
      </c>
      <c r="B92" s="394"/>
      <c r="C92" s="395">
        <v>69791</v>
      </c>
      <c r="D92" s="821">
        <v>500</v>
      </c>
    </row>
    <row r="93" spans="1:4" ht="12.75">
      <c r="A93" s="403" t="s">
        <v>374</v>
      </c>
      <c r="B93" s="394"/>
      <c r="C93" s="395">
        <v>16000</v>
      </c>
      <c r="D93" s="821">
        <v>6805</v>
      </c>
    </row>
    <row r="94" spans="1:4" ht="12.75">
      <c r="A94" s="403" t="s">
        <v>482</v>
      </c>
      <c r="B94" s="394"/>
      <c r="C94" s="395">
        <v>2220</v>
      </c>
      <c r="D94" s="821">
        <v>2220</v>
      </c>
    </row>
    <row r="95" spans="1:4" ht="12.75">
      <c r="A95" s="403" t="s">
        <v>693</v>
      </c>
      <c r="B95" s="394"/>
      <c r="C95" s="395">
        <v>15000</v>
      </c>
      <c r="D95" s="821">
        <v>1756</v>
      </c>
    </row>
    <row r="96" spans="1:4" ht="12.75">
      <c r="A96" s="403" t="s">
        <v>1126</v>
      </c>
      <c r="B96" s="394"/>
      <c r="C96" s="395">
        <v>25000</v>
      </c>
      <c r="D96" s="821"/>
    </row>
    <row r="97" spans="1:4" ht="12.75">
      <c r="A97" s="403" t="s">
        <v>13</v>
      </c>
      <c r="B97" s="394"/>
      <c r="C97" s="395">
        <v>30000</v>
      </c>
      <c r="D97" s="821">
        <v>462</v>
      </c>
    </row>
    <row r="98" spans="1:4" ht="12.75">
      <c r="A98" s="815" t="s">
        <v>1328</v>
      </c>
      <c r="B98" s="816">
        <f>SUM(B88)</f>
        <v>32000</v>
      </c>
      <c r="C98" s="818">
        <f>SUM(C88:C97)</f>
        <v>214579</v>
      </c>
      <c r="D98" s="826">
        <f>SUM(D88:D97)</f>
        <v>20370</v>
      </c>
    </row>
    <row r="99" spans="1:4" ht="12.75">
      <c r="A99" s="393"/>
      <c r="B99" s="398"/>
      <c r="C99" s="395"/>
      <c r="D99" s="821"/>
    </row>
    <row r="100" spans="1:4" ht="12.75">
      <c r="A100" s="404" t="s">
        <v>58</v>
      </c>
      <c r="B100" s="400">
        <f>SUM(B85,B98)</f>
        <v>57256</v>
      </c>
      <c r="C100" s="401">
        <f>SUM(C85+C98)</f>
        <v>259412</v>
      </c>
      <c r="D100" s="824">
        <f>SUM(D85+D98)</f>
        <v>64014</v>
      </c>
    </row>
    <row r="101" spans="1:4" ht="12.75">
      <c r="A101" s="393"/>
      <c r="B101" s="398"/>
      <c r="C101" s="395"/>
      <c r="D101" s="821"/>
    </row>
    <row r="102" spans="1:4" ht="12.75">
      <c r="A102" s="474" t="s">
        <v>909</v>
      </c>
      <c r="B102" s="475"/>
      <c r="C102" s="473"/>
      <c r="D102" s="821"/>
    </row>
    <row r="103" spans="1:4" ht="12.75">
      <c r="A103" s="393" t="s">
        <v>1158</v>
      </c>
      <c r="B103" s="394">
        <v>9703</v>
      </c>
      <c r="C103" s="395">
        <v>8263</v>
      </c>
      <c r="D103" s="821"/>
    </row>
    <row r="104" spans="1:4" ht="12.75">
      <c r="A104" s="393" t="s">
        <v>1159</v>
      </c>
      <c r="B104" s="394">
        <v>139400</v>
      </c>
      <c r="C104" s="395">
        <v>113976</v>
      </c>
      <c r="D104" s="821">
        <v>64968</v>
      </c>
    </row>
    <row r="105" spans="1:4" ht="12.75">
      <c r="A105" s="393" t="s">
        <v>7</v>
      </c>
      <c r="B105" s="394"/>
      <c r="C105" s="395">
        <v>10000</v>
      </c>
      <c r="D105" s="821">
        <v>10000</v>
      </c>
    </row>
    <row r="106" spans="1:4" ht="12.75">
      <c r="A106" s="393" t="s">
        <v>475</v>
      </c>
      <c r="B106" s="394"/>
      <c r="C106" s="395">
        <v>20000</v>
      </c>
      <c r="D106" s="821">
        <v>20000</v>
      </c>
    </row>
    <row r="107" spans="1:4" ht="12.75">
      <c r="A107" s="393" t="s">
        <v>1118</v>
      </c>
      <c r="B107" s="394"/>
      <c r="C107" s="395">
        <v>33600</v>
      </c>
      <c r="D107" s="821">
        <v>33600</v>
      </c>
    </row>
    <row r="108" spans="1:4" ht="12.75">
      <c r="A108" s="393" t="s">
        <v>1119</v>
      </c>
      <c r="B108" s="394"/>
      <c r="C108" s="395">
        <v>2500</v>
      </c>
      <c r="D108" s="821">
        <v>2462</v>
      </c>
    </row>
    <row r="109" spans="1:4" ht="12.75">
      <c r="A109" s="393" t="s">
        <v>1120</v>
      </c>
      <c r="B109" s="394"/>
      <c r="C109" s="395">
        <v>10000</v>
      </c>
      <c r="D109" s="821"/>
    </row>
    <row r="110" spans="1:4" ht="12.75">
      <c r="A110" s="393" t="s">
        <v>1121</v>
      </c>
      <c r="B110" s="394"/>
      <c r="C110" s="395">
        <v>13000</v>
      </c>
      <c r="D110" s="821">
        <v>4531</v>
      </c>
    </row>
    <row r="111" spans="1:4" ht="12.75">
      <c r="A111" s="393" t="s">
        <v>1122</v>
      </c>
      <c r="B111" s="394"/>
      <c r="C111" s="395">
        <v>12875</v>
      </c>
      <c r="D111" s="821">
        <v>12875</v>
      </c>
    </row>
    <row r="112" spans="1:4" ht="12.75">
      <c r="A112" s="393" t="s">
        <v>1113</v>
      </c>
      <c r="B112" s="394"/>
      <c r="C112" s="395">
        <v>12000</v>
      </c>
      <c r="D112" s="821"/>
    </row>
    <row r="113" spans="1:4" ht="12.75">
      <c r="A113" s="393" t="s">
        <v>1114</v>
      </c>
      <c r="B113" s="394"/>
      <c r="C113" s="395">
        <v>384725</v>
      </c>
      <c r="D113" s="821"/>
    </row>
    <row r="114" spans="1:4" s="286" customFormat="1" ht="12.75">
      <c r="A114" s="404" t="s">
        <v>1123</v>
      </c>
      <c r="B114" s="400">
        <f>SUM(B103:B104)</f>
        <v>149103</v>
      </c>
      <c r="C114" s="401">
        <f>SUM(C103:C113)</f>
        <v>620939</v>
      </c>
      <c r="D114" s="824">
        <f>SUM(D103:D113)</f>
        <v>148436</v>
      </c>
    </row>
    <row r="115" spans="1:4" ht="12.75">
      <c r="A115" s="404"/>
      <c r="B115" s="400"/>
      <c r="C115" s="395"/>
      <c r="D115" s="821"/>
    </row>
    <row r="116" spans="1:4" ht="12.75">
      <c r="A116" s="404" t="s">
        <v>1210</v>
      </c>
      <c r="B116" s="400"/>
      <c r="C116" s="395"/>
      <c r="D116" s="827">
        <v>43748</v>
      </c>
    </row>
    <row r="117" spans="1:4" ht="12.75">
      <c r="A117" s="404" t="s">
        <v>1206</v>
      </c>
      <c r="B117" s="400"/>
      <c r="C117" s="395"/>
      <c r="D117" s="827">
        <v>43006</v>
      </c>
    </row>
    <row r="118" spans="1:4" ht="12.75">
      <c r="A118" s="404" t="s">
        <v>1124</v>
      </c>
      <c r="B118" s="400"/>
      <c r="C118" s="401">
        <v>25000</v>
      </c>
      <c r="D118" s="827">
        <v>2834</v>
      </c>
    </row>
    <row r="119" spans="1:4" ht="12.75">
      <c r="A119" s="404" t="s">
        <v>483</v>
      </c>
      <c r="B119" s="400">
        <v>0</v>
      </c>
      <c r="C119" s="401">
        <v>3370</v>
      </c>
      <c r="D119" s="821"/>
    </row>
    <row r="120" spans="1:4" ht="12.75">
      <c r="A120" s="404" t="s">
        <v>484</v>
      </c>
      <c r="B120" s="433">
        <v>0</v>
      </c>
      <c r="C120" s="401">
        <v>0</v>
      </c>
      <c r="D120" s="821"/>
    </row>
    <row r="121" spans="1:4" ht="12.75">
      <c r="A121" s="393"/>
      <c r="B121" s="398"/>
      <c r="C121" s="395"/>
      <c r="D121" s="821"/>
    </row>
    <row r="122" spans="1:4" ht="13.5">
      <c r="A122" s="396" t="s">
        <v>788</v>
      </c>
      <c r="B122" s="397">
        <f>SUM(B25+B80+B100+B114+B116+B117+B118+B119+B120)</f>
        <v>1040785</v>
      </c>
      <c r="C122" s="397">
        <f>SUM(C25+C80+C100+C114+C116+C117+C118+C119+C120)</f>
        <v>2506086</v>
      </c>
      <c r="D122" s="823">
        <f>SUM(D25+D80+D100+D114+D116+D117+D118+D119+D120)</f>
        <v>817122</v>
      </c>
    </row>
    <row r="123" spans="1:4" ht="12.75">
      <c r="A123" s="393"/>
      <c r="B123" s="398"/>
      <c r="C123" s="395"/>
      <c r="D123" s="821"/>
    </row>
    <row r="124" spans="1:4" ht="14.25" thickBot="1">
      <c r="A124" s="405" t="s">
        <v>789</v>
      </c>
      <c r="B124" s="406">
        <f>B20-B122</f>
        <v>1359215</v>
      </c>
      <c r="C124" s="406">
        <f>C20-C122</f>
        <v>635061</v>
      </c>
      <c r="D124" s="828">
        <f>D20-D122</f>
        <v>1742567</v>
      </c>
    </row>
    <row r="125" ht="13.5" thickTop="1"/>
  </sheetData>
  <mergeCells count="3">
    <mergeCell ref="A2:D2"/>
    <mergeCell ref="A3:D3"/>
    <mergeCell ref="A4:D4"/>
  </mergeCells>
  <printOptions horizontalCentered="1"/>
  <pageMargins left="0.3937007874015748" right="0.35433070866141736" top="0.03937007874015748" bottom="0.03937007874015748" header="0.2362204724409449" footer="0.2362204724409449"/>
  <pageSetup horizontalDpi="600" verticalDpi="600" orientation="portrait" paperSize="9" scale="70" r:id="rId1"/>
  <rowBreaks count="1" manualBreakCount="1">
    <brk id="8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E135"/>
  <sheetViews>
    <sheetView workbookViewId="0" topLeftCell="A88">
      <selection activeCell="A95" sqref="A95"/>
    </sheetView>
  </sheetViews>
  <sheetFormatPr defaultColWidth="9.00390625" defaultRowHeight="12.75"/>
  <cols>
    <col min="1" max="1" width="60.125" style="0" bestFit="1" customWidth="1"/>
    <col min="2" max="2" width="13.625" style="0" customWidth="1"/>
    <col min="4" max="4" width="10.375" style="0" customWidth="1"/>
    <col min="5" max="5" width="10.875" style="0" customWidth="1"/>
  </cols>
  <sheetData>
    <row r="2" spans="1:5" ht="12.75">
      <c r="A2" s="1199" t="s">
        <v>215</v>
      </c>
      <c r="B2" s="1199"/>
      <c r="C2" s="1199"/>
      <c r="D2" s="1199"/>
      <c r="E2" s="1199"/>
    </row>
    <row r="3" spans="1:5" ht="12.75">
      <c r="A3" s="1199" t="s">
        <v>1557</v>
      </c>
      <c r="B3" s="1199"/>
      <c r="C3" s="1199"/>
      <c r="D3" s="1199"/>
      <c r="E3" s="1199"/>
    </row>
    <row r="4" spans="1:5" ht="13.5" thickBot="1">
      <c r="A4" s="555"/>
      <c r="B4" s="555"/>
      <c r="C4" s="555"/>
      <c r="D4" s="555"/>
      <c r="E4" s="555"/>
    </row>
    <row r="5" spans="1:5" ht="12.75">
      <c r="A5" s="556" t="s">
        <v>1334</v>
      </c>
      <c r="B5" s="557" t="s">
        <v>1345</v>
      </c>
      <c r="C5" s="557" t="s">
        <v>512</v>
      </c>
      <c r="D5" s="557" t="s">
        <v>1346</v>
      </c>
      <c r="E5" s="558" t="s">
        <v>386</v>
      </c>
    </row>
    <row r="6" spans="1:5" ht="12.75">
      <c r="A6" s="559"/>
      <c r="B6" s="560"/>
      <c r="C6" s="1196" t="s">
        <v>1347</v>
      </c>
      <c r="D6" s="1197"/>
      <c r="E6" s="1198"/>
    </row>
    <row r="7" spans="1:5" ht="12.75">
      <c r="A7" s="561" t="s">
        <v>1287</v>
      </c>
      <c r="B7" s="562">
        <v>1</v>
      </c>
      <c r="C7" s="560"/>
      <c r="D7" s="560"/>
      <c r="E7" s="563"/>
    </row>
    <row r="8" spans="1:5" ht="12.75">
      <c r="A8" s="561" t="s">
        <v>1018</v>
      </c>
      <c r="B8" s="562">
        <v>2</v>
      </c>
      <c r="C8" s="560"/>
      <c r="D8" s="560"/>
      <c r="E8" s="563"/>
    </row>
    <row r="9" spans="1:5" ht="12.75">
      <c r="A9" s="564" t="s">
        <v>1348</v>
      </c>
      <c r="B9" s="562">
        <v>3</v>
      </c>
      <c r="C9" s="562"/>
      <c r="D9" s="562"/>
      <c r="E9" s="565"/>
    </row>
    <row r="10" spans="1:5" ht="12.75">
      <c r="A10" s="566" t="s">
        <v>1349</v>
      </c>
      <c r="B10" s="567">
        <v>4</v>
      </c>
      <c r="C10" s="568">
        <v>571</v>
      </c>
      <c r="D10" s="569">
        <v>1456</v>
      </c>
      <c r="E10" s="570">
        <v>1103</v>
      </c>
    </row>
    <row r="11" spans="1:5" ht="12.75">
      <c r="A11" s="571" t="s">
        <v>1350</v>
      </c>
      <c r="B11" s="567">
        <v>5</v>
      </c>
      <c r="C11" s="572">
        <f>SUM(C9:C10)</f>
        <v>571</v>
      </c>
      <c r="D11" s="572">
        <f>SUM(D9:D10)</f>
        <v>1456</v>
      </c>
      <c r="E11" s="573">
        <f>SUM(E9:E10)</f>
        <v>1103</v>
      </c>
    </row>
    <row r="12" spans="1:5" ht="12.75">
      <c r="A12" s="566" t="s">
        <v>1351</v>
      </c>
      <c r="B12" s="567">
        <v>6</v>
      </c>
      <c r="C12" s="568"/>
      <c r="D12" s="569"/>
      <c r="E12" s="570"/>
    </row>
    <row r="13" spans="1:5" ht="12.75">
      <c r="A13" s="566" t="s">
        <v>1352</v>
      </c>
      <c r="B13" s="567">
        <v>7</v>
      </c>
      <c r="C13" s="568"/>
      <c r="D13" s="569"/>
      <c r="E13" s="570"/>
    </row>
    <row r="14" spans="1:5" ht="12.75">
      <c r="A14" s="574" t="s">
        <v>1353</v>
      </c>
      <c r="B14" s="567">
        <v>8</v>
      </c>
      <c r="C14" s="575">
        <f>SUM(C12:C13)</f>
        <v>0</v>
      </c>
      <c r="D14" s="575">
        <f>SUM(D12:D13)</f>
        <v>0</v>
      </c>
      <c r="E14" s="576">
        <f>SUM(E12:E13)</f>
        <v>0</v>
      </c>
    </row>
    <row r="15" spans="1:5" ht="12.75">
      <c r="A15" s="574" t="s">
        <v>1354</v>
      </c>
      <c r="B15" s="567">
        <v>9</v>
      </c>
      <c r="C15" s="575">
        <f>SUM(C7+C8+C11+C14)</f>
        <v>571</v>
      </c>
      <c r="D15" s="575">
        <f>SUM(D7+D8+D11+D14)</f>
        <v>1456</v>
      </c>
      <c r="E15" s="577">
        <f>SUM(E7+E8+E11+E14)</f>
        <v>1103</v>
      </c>
    </row>
    <row r="16" spans="1:5" ht="12.75">
      <c r="A16" s="574" t="s">
        <v>1355</v>
      </c>
      <c r="B16" s="567">
        <v>10</v>
      </c>
      <c r="C16" s="575"/>
      <c r="D16" s="578"/>
      <c r="E16" s="576"/>
    </row>
    <row r="17" spans="1:5" ht="12.75">
      <c r="A17" s="574" t="s">
        <v>1356</v>
      </c>
      <c r="B17" s="567">
        <v>11</v>
      </c>
      <c r="C17" s="575"/>
      <c r="D17" s="578"/>
      <c r="E17" s="576"/>
    </row>
    <row r="18" spans="1:5" ht="13.5" thickBot="1">
      <c r="A18" s="579" t="s">
        <v>1357</v>
      </c>
      <c r="B18" s="580">
        <v>12</v>
      </c>
      <c r="C18" s="581">
        <f>SUM(C15+C16+C17)</f>
        <v>571</v>
      </c>
      <c r="D18" s="581">
        <f>SUM(D15+D16+D17)</f>
        <v>1456</v>
      </c>
      <c r="E18" s="582">
        <f>SUM(E15+E16+E17)</f>
        <v>1103</v>
      </c>
    </row>
    <row r="19" spans="1:5" ht="12.75">
      <c r="A19" s="583" t="s">
        <v>1358</v>
      </c>
      <c r="B19" s="584">
        <v>13</v>
      </c>
      <c r="C19" s="585">
        <v>571</v>
      </c>
      <c r="D19" s="586">
        <v>895</v>
      </c>
      <c r="E19" s="587">
        <v>895</v>
      </c>
    </row>
    <row r="20" spans="1:5" ht="12.75">
      <c r="A20" s="588" t="s">
        <v>1359</v>
      </c>
      <c r="B20" s="567">
        <v>14</v>
      </c>
      <c r="C20" s="568"/>
      <c r="D20" s="569">
        <v>150</v>
      </c>
      <c r="E20" s="570">
        <v>150</v>
      </c>
    </row>
    <row r="21" spans="1:5" ht="12.75">
      <c r="A21" s="588" t="s">
        <v>1360</v>
      </c>
      <c r="B21" s="567">
        <v>15</v>
      </c>
      <c r="C21" s="589"/>
      <c r="D21" s="569"/>
      <c r="E21" s="570">
        <v>7</v>
      </c>
    </row>
    <row r="22" spans="1:5" ht="12.75">
      <c r="A22" s="590" t="s">
        <v>1319</v>
      </c>
      <c r="B22" s="591">
        <v>16</v>
      </c>
      <c r="C22" s="592"/>
      <c r="D22" s="593">
        <v>411</v>
      </c>
      <c r="E22" s="594">
        <v>411</v>
      </c>
    </row>
    <row r="23" spans="1:5" ht="13.5" thickBot="1">
      <c r="A23" s="579" t="s">
        <v>1361</v>
      </c>
      <c r="B23" s="580">
        <v>17</v>
      </c>
      <c r="C23" s="581">
        <f>SUM(C19:C22)</f>
        <v>571</v>
      </c>
      <c r="D23" s="581">
        <f>SUM(D19:D22)</f>
        <v>1456</v>
      </c>
      <c r="E23" s="595">
        <f>SUM(E19:E22)</f>
        <v>1463</v>
      </c>
    </row>
    <row r="24" spans="1:5" ht="12.75">
      <c r="A24" s="596"/>
      <c r="B24" s="597"/>
      <c r="C24" s="596"/>
      <c r="D24" s="596"/>
      <c r="E24" s="598"/>
    </row>
    <row r="25" spans="1:5" ht="12.75">
      <c r="A25" s="599" t="s">
        <v>1400</v>
      </c>
      <c r="B25" s="194"/>
      <c r="C25" s="600"/>
      <c r="D25" s="600"/>
      <c r="E25" s="600"/>
    </row>
    <row r="26" spans="1:5" ht="12.75">
      <c r="A26" s="601" t="s">
        <v>1401</v>
      </c>
      <c r="B26" s="602">
        <v>419</v>
      </c>
      <c r="C26" s="600"/>
      <c r="D26" s="600"/>
      <c r="E26" s="600"/>
    </row>
    <row r="27" spans="1:5" ht="12.75">
      <c r="A27" s="601" t="s">
        <v>1362</v>
      </c>
      <c r="B27" s="602">
        <v>1463</v>
      </c>
      <c r="C27" s="600"/>
      <c r="D27" s="600"/>
      <c r="E27" s="600"/>
    </row>
    <row r="28" spans="1:5" ht="12.75">
      <c r="A28" s="601" t="s">
        <v>1319</v>
      </c>
      <c r="B28" s="602">
        <v>-411</v>
      </c>
      <c r="C28" s="600"/>
      <c r="D28" s="600"/>
      <c r="E28" s="600"/>
    </row>
    <row r="29" spans="1:5" ht="12.75">
      <c r="A29" s="601" t="s">
        <v>1363</v>
      </c>
      <c r="B29" s="602">
        <v>-1103</v>
      </c>
      <c r="C29" s="600"/>
      <c r="D29" s="600"/>
      <c r="E29" s="600"/>
    </row>
    <row r="30" spans="1:5" ht="12.75">
      <c r="A30" s="603" t="s">
        <v>1402</v>
      </c>
      <c r="B30" s="604">
        <f>SUM(B26:B29)</f>
        <v>368</v>
      </c>
      <c r="C30" s="600"/>
      <c r="D30" s="600"/>
      <c r="E30" s="600"/>
    </row>
    <row r="31" spans="1:5" ht="12.75">
      <c r="A31" t="s">
        <v>1364</v>
      </c>
      <c r="B31" s="605">
        <v>0</v>
      </c>
      <c r="C31" s="600"/>
      <c r="D31" s="600"/>
      <c r="E31" s="600"/>
    </row>
    <row r="32" spans="1:2" ht="12.75">
      <c r="A32" t="s">
        <v>1365</v>
      </c>
      <c r="B32" s="606">
        <v>-7</v>
      </c>
    </row>
    <row r="33" spans="1:2" ht="12.75">
      <c r="A33" s="607" t="s">
        <v>1403</v>
      </c>
      <c r="B33" s="608">
        <f>SUM(B30:B32)</f>
        <v>361</v>
      </c>
    </row>
    <row r="36" spans="1:5" ht="12.75">
      <c r="A36" s="1199" t="s">
        <v>217</v>
      </c>
      <c r="B36" s="1199"/>
      <c r="C36" s="1199"/>
      <c r="D36" s="1199"/>
      <c r="E36" s="1199"/>
    </row>
    <row r="37" spans="1:5" ht="12.75">
      <c r="A37" s="1199" t="s">
        <v>1404</v>
      </c>
      <c r="B37" s="1199"/>
      <c r="C37" s="1199"/>
      <c r="D37" s="1199"/>
      <c r="E37" s="1199"/>
    </row>
    <row r="38" ht="13.5" thickBot="1"/>
    <row r="39" spans="1:5" ht="12.75">
      <c r="A39" s="556" t="s">
        <v>1334</v>
      </c>
      <c r="B39" s="557" t="s">
        <v>1345</v>
      </c>
      <c r="C39" s="557" t="s">
        <v>512</v>
      </c>
      <c r="D39" s="557" t="s">
        <v>1346</v>
      </c>
      <c r="E39" s="558" t="s">
        <v>386</v>
      </c>
    </row>
    <row r="40" spans="1:5" ht="12.75">
      <c r="A40" s="559"/>
      <c r="B40" s="560"/>
      <c r="C40" s="1196" t="s">
        <v>1347</v>
      </c>
      <c r="D40" s="1197"/>
      <c r="E40" s="1198"/>
    </row>
    <row r="41" spans="1:5" ht="12.75">
      <c r="A41" s="561" t="s">
        <v>1287</v>
      </c>
      <c r="B41" s="562">
        <v>1</v>
      </c>
      <c r="C41" s="560"/>
      <c r="D41" s="560"/>
      <c r="E41" s="563"/>
    </row>
    <row r="42" spans="1:5" ht="12.75">
      <c r="A42" s="561" t="s">
        <v>1018</v>
      </c>
      <c r="B42" s="562">
        <v>2</v>
      </c>
      <c r="C42" s="560"/>
      <c r="D42" s="560"/>
      <c r="E42" s="563"/>
    </row>
    <row r="43" spans="1:5" ht="12.75">
      <c r="A43" s="564" t="s">
        <v>1348</v>
      </c>
      <c r="B43" s="562">
        <v>3</v>
      </c>
      <c r="C43" s="562"/>
      <c r="D43" s="562"/>
      <c r="E43" s="565"/>
    </row>
    <row r="44" spans="1:5" ht="12.75">
      <c r="A44" s="566" t="s">
        <v>1349</v>
      </c>
      <c r="B44" s="567">
        <v>4</v>
      </c>
      <c r="C44" s="568">
        <v>571</v>
      </c>
      <c r="D44" s="569">
        <v>882</v>
      </c>
      <c r="E44" s="570">
        <v>847</v>
      </c>
    </row>
    <row r="45" spans="1:5" ht="12.75">
      <c r="A45" s="571" t="s">
        <v>1350</v>
      </c>
      <c r="B45" s="567">
        <v>5</v>
      </c>
      <c r="C45" s="572">
        <f>SUM(C43:C44)</f>
        <v>571</v>
      </c>
      <c r="D45" s="572">
        <f>SUM(D43:D44)</f>
        <v>882</v>
      </c>
      <c r="E45" s="573">
        <f>SUM(E43:E44)</f>
        <v>847</v>
      </c>
    </row>
    <row r="46" spans="1:5" ht="12.75">
      <c r="A46" s="566" t="s">
        <v>1351</v>
      </c>
      <c r="B46" s="567">
        <v>6</v>
      </c>
      <c r="C46" s="568"/>
      <c r="D46" s="569"/>
      <c r="E46" s="570"/>
    </row>
    <row r="47" spans="1:5" ht="12.75">
      <c r="A47" s="566" t="s">
        <v>1352</v>
      </c>
      <c r="B47" s="567">
        <v>7</v>
      </c>
      <c r="C47" s="568"/>
      <c r="D47" s="569"/>
      <c r="E47" s="570"/>
    </row>
    <row r="48" spans="1:5" ht="12.75">
      <c r="A48" s="574" t="s">
        <v>1353</v>
      </c>
      <c r="B48" s="567">
        <v>8</v>
      </c>
      <c r="C48" s="575">
        <f>SUM(C46:C47)</f>
        <v>0</v>
      </c>
      <c r="D48" s="575">
        <f>SUM(D46:D47)</f>
        <v>0</v>
      </c>
      <c r="E48" s="576">
        <f>SUM(E46:E47)</f>
        <v>0</v>
      </c>
    </row>
    <row r="49" spans="1:5" ht="12.75">
      <c r="A49" s="574" t="s">
        <v>1354</v>
      </c>
      <c r="B49" s="567">
        <v>9</v>
      </c>
      <c r="C49" s="575">
        <f>SUM(C41+C42+C45+C48)</f>
        <v>571</v>
      </c>
      <c r="D49" s="575">
        <f>SUM(D41+D42+D45+D48)</f>
        <v>882</v>
      </c>
      <c r="E49" s="577">
        <f>SUM(E41+E42+E45+E48)</f>
        <v>847</v>
      </c>
    </row>
    <row r="50" spans="1:5" ht="12.75">
      <c r="A50" s="574" t="s">
        <v>1355</v>
      </c>
      <c r="B50" s="567">
        <v>10</v>
      </c>
      <c r="C50" s="575"/>
      <c r="D50" s="578"/>
      <c r="E50" s="576"/>
    </row>
    <row r="51" spans="1:5" ht="12.75">
      <c r="A51" s="574" t="s">
        <v>1356</v>
      </c>
      <c r="B51" s="567">
        <v>11</v>
      </c>
      <c r="C51" s="575"/>
      <c r="D51" s="578"/>
      <c r="E51" s="576"/>
    </row>
    <row r="52" spans="1:5" ht="13.5" thickBot="1">
      <c r="A52" s="579" t="s">
        <v>1357</v>
      </c>
      <c r="B52" s="580">
        <v>12</v>
      </c>
      <c r="C52" s="581">
        <f>SUM(C49+C50+C51)</f>
        <v>571</v>
      </c>
      <c r="D52" s="581">
        <f>SUM(D49+D50+D51)</f>
        <v>882</v>
      </c>
      <c r="E52" s="582">
        <f>SUM(E49+E50+E51)</f>
        <v>847</v>
      </c>
    </row>
    <row r="53" spans="1:5" ht="12.75">
      <c r="A53" s="583" t="s">
        <v>1358</v>
      </c>
      <c r="B53" s="584">
        <v>13</v>
      </c>
      <c r="C53" s="585">
        <v>571</v>
      </c>
      <c r="D53" s="586">
        <v>715</v>
      </c>
      <c r="E53" s="587">
        <v>715</v>
      </c>
    </row>
    <row r="54" spans="1:5" ht="12.75">
      <c r="A54" s="588" t="s">
        <v>1359</v>
      </c>
      <c r="B54" s="567">
        <v>14</v>
      </c>
      <c r="C54" s="568"/>
      <c r="D54" s="569">
        <v>150</v>
      </c>
      <c r="E54" s="570">
        <v>150</v>
      </c>
    </row>
    <row r="55" spans="1:5" ht="12.75">
      <c r="A55" s="588" t="s">
        <v>1366</v>
      </c>
      <c r="B55" s="567">
        <v>15</v>
      </c>
      <c r="C55" s="589"/>
      <c r="D55" s="569"/>
      <c r="E55" s="570">
        <v>4</v>
      </c>
    </row>
    <row r="56" spans="1:5" ht="12.75">
      <c r="A56" s="590" t="s">
        <v>1319</v>
      </c>
      <c r="B56" s="591">
        <v>16</v>
      </c>
      <c r="C56" s="592"/>
      <c r="D56" s="593">
        <v>17</v>
      </c>
      <c r="E56" s="594">
        <v>17</v>
      </c>
    </row>
    <row r="57" spans="1:5" ht="13.5" thickBot="1">
      <c r="A57" s="579" t="s">
        <v>1361</v>
      </c>
      <c r="B57" s="580">
        <v>17</v>
      </c>
      <c r="C57" s="581">
        <f>SUM(C53:C56)</f>
        <v>571</v>
      </c>
      <c r="D57" s="581">
        <f>SUM(D53:D56)</f>
        <v>882</v>
      </c>
      <c r="E57" s="595">
        <f>SUM(E53:E56)</f>
        <v>886</v>
      </c>
    </row>
    <row r="58" spans="1:5" ht="12.75">
      <c r="A58" s="596"/>
      <c r="B58" s="597"/>
      <c r="C58" s="596"/>
      <c r="D58" s="596"/>
      <c r="E58" s="598"/>
    </row>
    <row r="59" spans="1:2" ht="12.75">
      <c r="A59" s="599" t="s">
        <v>1400</v>
      </c>
      <c r="B59" s="194"/>
    </row>
    <row r="60" spans="1:2" ht="12.75">
      <c r="A60" s="601" t="s">
        <v>1401</v>
      </c>
      <c r="B60" s="602">
        <v>17</v>
      </c>
    </row>
    <row r="61" spans="1:2" ht="12.75">
      <c r="A61" s="601" t="s">
        <v>1362</v>
      </c>
      <c r="B61" s="602">
        <v>886</v>
      </c>
    </row>
    <row r="62" spans="1:2" ht="12.75">
      <c r="A62" s="601" t="s">
        <v>1319</v>
      </c>
      <c r="B62" s="602">
        <v>-17</v>
      </c>
    </row>
    <row r="63" spans="1:2" ht="12.75">
      <c r="A63" s="601" t="s">
        <v>1363</v>
      </c>
      <c r="B63" s="602">
        <v>-847</v>
      </c>
    </row>
    <row r="64" spans="1:2" ht="12.75">
      <c r="A64" s="603" t="s">
        <v>1402</v>
      </c>
      <c r="B64" s="604">
        <f>SUM(B60:B63)</f>
        <v>39</v>
      </c>
    </row>
    <row r="65" spans="1:2" ht="12.75">
      <c r="A65" t="s">
        <v>1364</v>
      </c>
      <c r="B65" s="605">
        <v>0</v>
      </c>
    </row>
    <row r="66" spans="1:2" ht="12.75">
      <c r="A66" t="s">
        <v>1365</v>
      </c>
      <c r="B66" s="606">
        <v>-4</v>
      </c>
    </row>
    <row r="67" spans="1:2" ht="12.75">
      <c r="A67" s="607" t="s">
        <v>1403</v>
      </c>
      <c r="B67" s="608">
        <f>SUM(B64:B66)</f>
        <v>35</v>
      </c>
    </row>
    <row r="68" spans="1:2" ht="12.75">
      <c r="A68" s="607"/>
      <c r="B68" s="608"/>
    </row>
    <row r="69" spans="1:5" ht="12.75">
      <c r="A69" s="1199" t="s">
        <v>216</v>
      </c>
      <c r="B69" s="1199"/>
      <c r="C69" s="1199"/>
      <c r="D69" s="1199"/>
      <c r="E69" s="1199"/>
    </row>
    <row r="70" spans="1:5" ht="12.75">
      <c r="A70" s="1199" t="s">
        <v>1557</v>
      </c>
      <c r="B70" s="1199"/>
      <c r="C70" s="1199"/>
      <c r="D70" s="1199"/>
      <c r="E70" s="1199"/>
    </row>
    <row r="71" ht="12.75" customHeight="1" thickBot="1">
      <c r="E71" s="609" t="s">
        <v>940</v>
      </c>
    </row>
    <row r="72" spans="1:5" ht="12.75">
      <c r="A72" s="556" t="s">
        <v>1334</v>
      </c>
      <c r="B72" s="557" t="s">
        <v>1345</v>
      </c>
      <c r="C72" s="557" t="s">
        <v>512</v>
      </c>
      <c r="D72" s="557" t="s">
        <v>1346</v>
      </c>
      <c r="E72" s="558" t="s">
        <v>386</v>
      </c>
    </row>
    <row r="73" spans="1:5" ht="12.75">
      <c r="A73" s="559"/>
      <c r="B73" s="560"/>
      <c r="C73" s="1196" t="s">
        <v>1347</v>
      </c>
      <c r="D73" s="1197"/>
      <c r="E73" s="1198"/>
    </row>
    <row r="74" spans="1:5" ht="12.75">
      <c r="A74" s="561" t="s">
        <v>1287</v>
      </c>
      <c r="B74" s="562">
        <v>1</v>
      </c>
      <c r="C74" s="560"/>
      <c r="D74" s="560"/>
      <c r="E74" s="563"/>
    </row>
    <row r="75" spans="1:5" ht="12.75">
      <c r="A75" s="561" t="s">
        <v>1018</v>
      </c>
      <c r="B75" s="562">
        <v>2</v>
      </c>
      <c r="C75" s="560"/>
      <c r="D75" s="560"/>
      <c r="E75" s="563"/>
    </row>
    <row r="76" spans="1:5" ht="12.75">
      <c r="A76" s="564" t="s">
        <v>1348</v>
      </c>
      <c r="B76" s="562">
        <v>3</v>
      </c>
      <c r="C76" s="562"/>
      <c r="D76" s="562"/>
      <c r="E76" s="565"/>
    </row>
    <row r="77" spans="1:5" ht="12.75">
      <c r="A77" s="566" t="s">
        <v>1349</v>
      </c>
      <c r="B77" s="567">
        <v>4</v>
      </c>
      <c r="C77" s="568">
        <v>571</v>
      </c>
      <c r="D77" s="569">
        <v>1284</v>
      </c>
      <c r="E77" s="570">
        <v>1250</v>
      </c>
    </row>
    <row r="78" spans="1:5" ht="12.75">
      <c r="A78" s="571" t="s">
        <v>1350</v>
      </c>
      <c r="B78" s="567">
        <v>5</v>
      </c>
      <c r="C78" s="572">
        <f>SUM(C76:C77)</f>
        <v>571</v>
      </c>
      <c r="D78" s="572">
        <f>SUM(D76:D77)</f>
        <v>1284</v>
      </c>
      <c r="E78" s="573">
        <f>SUM(E76:E77)</f>
        <v>1250</v>
      </c>
    </row>
    <row r="79" spans="1:5" ht="12.75">
      <c r="A79" s="566" t="s">
        <v>1367</v>
      </c>
      <c r="B79" s="567">
        <v>6</v>
      </c>
      <c r="C79" s="568"/>
      <c r="D79" s="569"/>
      <c r="E79" s="570"/>
    </row>
    <row r="80" spans="1:5" ht="12.75">
      <c r="A80" s="566" t="s">
        <v>1352</v>
      </c>
      <c r="B80" s="567">
        <v>7</v>
      </c>
      <c r="C80" s="568"/>
      <c r="D80" s="569"/>
      <c r="E80" s="570">
        <v>10</v>
      </c>
    </row>
    <row r="81" spans="1:5" ht="12.75">
      <c r="A81" s="574" t="s">
        <v>1353</v>
      </c>
      <c r="B81" s="567">
        <v>8</v>
      </c>
      <c r="C81" s="575">
        <f>SUM(C79:C80)</f>
        <v>0</v>
      </c>
      <c r="D81" s="575">
        <f>SUM(D79:D80)</f>
        <v>0</v>
      </c>
      <c r="E81" s="576">
        <f>SUM(E79:E80)</f>
        <v>10</v>
      </c>
    </row>
    <row r="82" spans="1:5" ht="12.75">
      <c r="A82" s="574" t="s">
        <v>1354</v>
      </c>
      <c r="B82" s="567">
        <v>9</v>
      </c>
      <c r="C82" s="575">
        <f>SUM(C74+C75+C78+C81)</f>
        <v>571</v>
      </c>
      <c r="D82" s="575">
        <f>SUM(D74+D75+D78+D81)</f>
        <v>1284</v>
      </c>
      <c r="E82" s="577">
        <f>SUM(E74+E75+E78+E81)</f>
        <v>1260</v>
      </c>
    </row>
    <row r="83" spans="1:5" ht="12.75">
      <c r="A83" s="574" t="s">
        <v>1355</v>
      </c>
      <c r="B83" s="567">
        <v>10</v>
      </c>
      <c r="C83" s="575"/>
      <c r="D83" s="578"/>
      <c r="E83" s="576"/>
    </row>
    <row r="84" spans="1:5" ht="12.75">
      <c r="A84" s="574" t="s">
        <v>1356</v>
      </c>
      <c r="B84" s="567">
        <v>11</v>
      </c>
      <c r="C84" s="575"/>
      <c r="D84" s="578"/>
      <c r="E84" s="576"/>
    </row>
    <row r="85" spans="1:5" ht="13.5" thickBot="1">
      <c r="A85" s="579" t="s">
        <v>1357</v>
      </c>
      <c r="B85" s="580">
        <v>12</v>
      </c>
      <c r="C85" s="581">
        <f>SUM(C82+C83+C84)</f>
        <v>571</v>
      </c>
      <c r="D85" s="581">
        <f>SUM(D82+D83+D84)</f>
        <v>1284</v>
      </c>
      <c r="E85" s="582">
        <f>SUM(E82+E83+E84)</f>
        <v>1260</v>
      </c>
    </row>
    <row r="86" spans="1:5" ht="12.75">
      <c r="A86" s="583" t="s">
        <v>1358</v>
      </c>
      <c r="B86" s="584">
        <v>13</v>
      </c>
      <c r="C86" s="585">
        <v>571</v>
      </c>
      <c r="D86" s="586">
        <v>877</v>
      </c>
      <c r="E86" s="587">
        <v>877</v>
      </c>
    </row>
    <row r="87" spans="1:5" ht="12.75">
      <c r="A87" s="588" t="s">
        <v>1359</v>
      </c>
      <c r="B87" s="567">
        <v>14</v>
      </c>
      <c r="C87" s="568"/>
      <c r="D87" s="569">
        <v>399</v>
      </c>
      <c r="E87" s="570">
        <v>399</v>
      </c>
    </row>
    <row r="88" spans="1:5" ht="12.75">
      <c r="A88" s="588" t="s">
        <v>1366</v>
      </c>
      <c r="B88" s="567">
        <v>15</v>
      </c>
      <c r="C88" s="589"/>
      <c r="D88" s="569"/>
      <c r="E88" s="570">
        <v>3</v>
      </c>
    </row>
    <row r="89" spans="1:5" ht="12.75">
      <c r="A89" s="590" t="s">
        <v>1319</v>
      </c>
      <c r="B89" s="591">
        <v>16</v>
      </c>
      <c r="C89" s="592"/>
      <c r="D89" s="593">
        <v>18</v>
      </c>
      <c r="E89" s="594">
        <v>18</v>
      </c>
    </row>
    <row r="90" spans="1:5" ht="13.5" thickBot="1">
      <c r="A90" s="579" t="s">
        <v>1361</v>
      </c>
      <c r="B90" s="580">
        <v>17</v>
      </c>
      <c r="C90" s="581">
        <f>SUM(C86:C89)</f>
        <v>571</v>
      </c>
      <c r="D90" s="581">
        <f>SUM(D86:D89)</f>
        <v>1294</v>
      </c>
      <c r="E90" s="595">
        <f>SUM(E86:E89)</f>
        <v>1297</v>
      </c>
    </row>
    <row r="91" spans="1:5" ht="12.75">
      <c r="A91" s="596"/>
      <c r="B91" s="597"/>
      <c r="C91" s="596"/>
      <c r="D91" s="598"/>
      <c r="E91" s="598"/>
    </row>
    <row r="92" spans="1:5" ht="12.75">
      <c r="A92" s="599" t="s">
        <v>1400</v>
      </c>
      <c r="B92" s="194"/>
      <c r="C92" s="596"/>
      <c r="D92" s="598"/>
      <c r="E92" s="598"/>
    </row>
    <row r="93" spans="1:5" ht="12.75">
      <c r="A93" s="601" t="s">
        <v>1401</v>
      </c>
      <c r="B93" s="602">
        <v>19</v>
      </c>
      <c r="C93" s="596"/>
      <c r="D93" s="598"/>
      <c r="E93" s="598"/>
    </row>
    <row r="94" spans="1:5" ht="12.75">
      <c r="A94" s="601" t="s">
        <v>1362</v>
      </c>
      <c r="B94" s="602">
        <v>1297</v>
      </c>
      <c r="C94" s="596"/>
      <c r="D94" s="598"/>
      <c r="E94" s="598"/>
    </row>
    <row r="95" spans="1:5" ht="12.75">
      <c r="A95" s="601" t="s">
        <v>1319</v>
      </c>
      <c r="B95" s="602">
        <v>-18</v>
      </c>
      <c r="C95" s="596"/>
      <c r="D95" s="598"/>
      <c r="E95" s="598"/>
    </row>
    <row r="96" spans="1:5" ht="12.75">
      <c r="A96" s="601" t="s">
        <v>1363</v>
      </c>
      <c r="B96" s="602">
        <v>-1260</v>
      </c>
      <c r="C96" s="596"/>
      <c r="D96" s="598"/>
      <c r="E96" s="598"/>
    </row>
    <row r="97" spans="1:5" ht="12.75">
      <c r="A97" s="603" t="s">
        <v>1402</v>
      </c>
      <c r="B97" s="604">
        <f>SUM(B93:B96)</f>
        <v>38</v>
      </c>
      <c r="C97" s="596"/>
      <c r="D97" s="598"/>
      <c r="E97" s="598"/>
    </row>
    <row r="98" spans="1:5" ht="12.75">
      <c r="A98" t="s">
        <v>1364</v>
      </c>
      <c r="B98" s="605">
        <v>0</v>
      </c>
      <c r="C98" s="596"/>
      <c r="D98" s="598"/>
      <c r="E98" s="598"/>
    </row>
    <row r="99" spans="1:5" ht="12.75">
      <c r="A99" t="s">
        <v>1365</v>
      </c>
      <c r="B99" s="606">
        <v>-3</v>
      </c>
      <c r="C99" s="596"/>
      <c r="D99" s="598"/>
      <c r="E99" s="598"/>
    </row>
    <row r="100" spans="1:5" ht="12.75">
      <c r="A100" s="607" t="s">
        <v>1403</v>
      </c>
      <c r="B100" s="608">
        <f>SUM(B97:B99)</f>
        <v>35</v>
      </c>
      <c r="C100" s="596"/>
      <c r="D100" s="598"/>
      <c r="E100" s="598"/>
    </row>
    <row r="101" spans="1:5" ht="12.75">
      <c r="A101" s="607"/>
      <c r="B101" s="608"/>
      <c r="C101" s="596"/>
      <c r="D101" s="598"/>
      <c r="E101" s="598"/>
    </row>
    <row r="102" spans="1:5" ht="12.75">
      <c r="A102" s="1199" t="s">
        <v>1368</v>
      </c>
      <c r="B102" s="1199"/>
      <c r="C102" s="1199"/>
      <c r="D102" s="1199"/>
      <c r="E102" s="1199"/>
    </row>
    <row r="103" spans="1:5" ht="12.75">
      <c r="A103" s="1200" t="s">
        <v>1557</v>
      </c>
      <c r="B103" s="1200"/>
      <c r="C103" s="1200"/>
      <c r="D103" s="1200"/>
      <c r="E103" s="1200"/>
    </row>
    <row r="104" spans="4:5" ht="13.5" thickBot="1">
      <c r="D104" s="1201" t="s">
        <v>940</v>
      </c>
      <c r="E104" s="1201"/>
    </row>
    <row r="105" spans="1:5" ht="12.75">
      <c r="A105" s="556" t="s">
        <v>1334</v>
      </c>
      <c r="B105" s="557" t="s">
        <v>1345</v>
      </c>
      <c r="C105" s="557" t="s">
        <v>512</v>
      </c>
      <c r="D105" s="557" t="s">
        <v>1346</v>
      </c>
      <c r="E105" s="558" t="s">
        <v>386</v>
      </c>
    </row>
    <row r="106" spans="1:5" ht="12.75">
      <c r="A106" s="611"/>
      <c r="B106" s="572"/>
      <c r="C106" s="1194" t="s">
        <v>1347</v>
      </c>
      <c r="D106" s="1194"/>
      <c r="E106" s="1195"/>
    </row>
    <row r="107" spans="1:5" ht="12.75">
      <c r="A107" s="574" t="s">
        <v>1018</v>
      </c>
      <c r="B107" s="568">
        <v>1</v>
      </c>
      <c r="C107" s="612"/>
      <c r="D107" s="612"/>
      <c r="E107" s="613"/>
    </row>
    <row r="108" spans="1:5" ht="12.75">
      <c r="A108" s="574" t="s">
        <v>1287</v>
      </c>
      <c r="B108" s="568">
        <v>2</v>
      </c>
      <c r="C108" s="612"/>
      <c r="D108" s="612"/>
      <c r="E108" s="613"/>
    </row>
    <row r="109" spans="1:5" ht="12.75">
      <c r="A109" s="566" t="s">
        <v>1348</v>
      </c>
      <c r="B109" s="568">
        <v>3</v>
      </c>
      <c r="C109" s="310"/>
      <c r="D109" s="310"/>
      <c r="E109" s="614"/>
    </row>
    <row r="110" spans="1:5" ht="12.75">
      <c r="A110" s="566" t="s">
        <v>1349</v>
      </c>
      <c r="B110" s="568">
        <v>4</v>
      </c>
      <c r="C110" s="310">
        <v>1713</v>
      </c>
      <c r="D110" s="310">
        <v>3622</v>
      </c>
      <c r="E110" s="614">
        <v>3200</v>
      </c>
    </row>
    <row r="111" spans="1:5" ht="12.75">
      <c r="A111" s="571" t="s">
        <v>1350</v>
      </c>
      <c r="B111" s="568">
        <v>5</v>
      </c>
      <c r="C111" s="612">
        <f>SUM(C109:C110)</f>
        <v>1713</v>
      </c>
      <c r="D111" s="612">
        <f>SUM(D109:D110)</f>
        <v>3622</v>
      </c>
      <c r="E111" s="613">
        <f>SUM(E109:E110)</f>
        <v>3200</v>
      </c>
    </row>
    <row r="112" spans="1:5" ht="12.75">
      <c r="A112" s="566" t="s">
        <v>1367</v>
      </c>
      <c r="B112" s="568">
        <v>6</v>
      </c>
      <c r="C112" s="310"/>
      <c r="D112" s="310"/>
      <c r="E112" s="614"/>
    </row>
    <row r="113" spans="1:5" ht="12.75">
      <c r="A113" s="566" t="s">
        <v>1352</v>
      </c>
      <c r="B113" s="568">
        <v>7</v>
      </c>
      <c r="C113" s="310"/>
      <c r="D113" s="310"/>
      <c r="E113" s="614">
        <v>10</v>
      </c>
    </row>
    <row r="114" spans="1:5" ht="12.75">
      <c r="A114" s="574" t="s">
        <v>1353</v>
      </c>
      <c r="B114" s="568">
        <v>8</v>
      </c>
      <c r="C114" s="612">
        <f>SUM(C112:C113)</f>
        <v>0</v>
      </c>
      <c r="D114" s="612">
        <f>SUM(D112:D113)</f>
        <v>0</v>
      </c>
      <c r="E114" s="613">
        <f>SUM(E112:E113)</f>
        <v>10</v>
      </c>
    </row>
    <row r="115" spans="1:5" ht="12.75">
      <c r="A115" s="574" t="s">
        <v>1354</v>
      </c>
      <c r="B115" s="568">
        <v>9</v>
      </c>
      <c r="C115" s="612">
        <f>SUM(C107+C108+C111+C114)</f>
        <v>1713</v>
      </c>
      <c r="D115" s="612">
        <f>SUM(D107+D108+D111+D114)</f>
        <v>3622</v>
      </c>
      <c r="E115" s="613">
        <f>SUM(E107+E108+E111+E114)</f>
        <v>3210</v>
      </c>
    </row>
    <row r="116" spans="1:5" ht="12.75">
      <c r="A116" s="574" t="s">
        <v>1355</v>
      </c>
      <c r="B116" s="568">
        <v>10</v>
      </c>
      <c r="C116" s="612"/>
      <c r="D116" s="612"/>
      <c r="E116" s="613"/>
    </row>
    <row r="117" spans="1:5" ht="12.75">
      <c r="A117" s="574" t="s">
        <v>1356</v>
      </c>
      <c r="B117" s="615">
        <v>11</v>
      </c>
      <c r="C117" s="616"/>
      <c r="D117" s="616"/>
      <c r="E117" s="617"/>
    </row>
    <row r="118" spans="1:5" ht="13.5" thickBot="1">
      <c r="A118" s="579" t="s">
        <v>1357</v>
      </c>
      <c r="B118" s="618">
        <v>12</v>
      </c>
      <c r="C118" s="619">
        <f>SUM(C115:C117)</f>
        <v>1713</v>
      </c>
      <c r="D118" s="619">
        <f>SUM(D115:D117)</f>
        <v>3622</v>
      </c>
      <c r="E118" s="620">
        <f>SUM(E115:E117)</f>
        <v>3210</v>
      </c>
    </row>
    <row r="119" spans="1:5" ht="12.75">
      <c r="A119" s="583" t="s">
        <v>1358</v>
      </c>
      <c r="B119" s="585">
        <v>13</v>
      </c>
      <c r="C119" s="621">
        <v>1713</v>
      </c>
      <c r="D119" s="621">
        <v>2487</v>
      </c>
      <c r="E119" s="622">
        <v>2487</v>
      </c>
    </row>
    <row r="120" spans="1:5" ht="12.75">
      <c r="A120" s="588" t="s">
        <v>1359</v>
      </c>
      <c r="B120" s="568">
        <v>14</v>
      </c>
      <c r="C120" s="310"/>
      <c r="D120" s="310">
        <v>699</v>
      </c>
      <c r="E120" s="614">
        <v>699</v>
      </c>
    </row>
    <row r="121" spans="1:5" ht="12.75">
      <c r="A121" s="588" t="s">
        <v>1366</v>
      </c>
      <c r="B121" s="615">
        <v>16</v>
      </c>
      <c r="C121" s="623"/>
      <c r="D121" s="623"/>
      <c r="E121" s="624">
        <v>14</v>
      </c>
    </row>
    <row r="122" spans="1:5" ht="12.75">
      <c r="A122" s="590" t="s">
        <v>1319</v>
      </c>
      <c r="B122" s="615">
        <v>17</v>
      </c>
      <c r="C122" s="623"/>
      <c r="D122" s="623">
        <v>446</v>
      </c>
      <c r="E122" s="624">
        <v>446</v>
      </c>
    </row>
    <row r="123" spans="1:5" ht="13.5" thickBot="1">
      <c r="A123" s="579" t="s">
        <v>1361</v>
      </c>
      <c r="B123" s="618">
        <v>18</v>
      </c>
      <c r="C123" s="619">
        <f>SUM(C119:C122)</f>
        <v>1713</v>
      </c>
      <c r="D123" s="619">
        <f>SUM(D119:D122)</f>
        <v>3632</v>
      </c>
      <c r="E123" s="620">
        <f>SUM(E119:E122)</f>
        <v>3646</v>
      </c>
    </row>
    <row r="125" spans="1:2" ht="12.75">
      <c r="A125" s="599" t="s">
        <v>1400</v>
      </c>
      <c r="B125" s="194"/>
    </row>
    <row r="126" spans="1:2" ht="12.75">
      <c r="A126" s="601" t="s">
        <v>1401</v>
      </c>
      <c r="B126" s="602">
        <v>455</v>
      </c>
    </row>
    <row r="127" spans="1:2" ht="12.75">
      <c r="A127" s="601" t="s">
        <v>1362</v>
      </c>
      <c r="B127" s="602">
        <v>3646</v>
      </c>
    </row>
    <row r="128" spans="1:2" ht="12.75">
      <c r="A128" s="601" t="s">
        <v>1319</v>
      </c>
      <c r="B128" s="602">
        <v>-446</v>
      </c>
    </row>
    <row r="129" spans="1:2" ht="12.75">
      <c r="A129" s="601" t="s">
        <v>1363</v>
      </c>
      <c r="B129" s="602">
        <v>-3210</v>
      </c>
    </row>
    <row r="130" spans="1:2" ht="12.75">
      <c r="A130" s="603" t="s">
        <v>1402</v>
      </c>
      <c r="B130" s="604">
        <f>SUM(B126:B129)</f>
        <v>445</v>
      </c>
    </row>
    <row r="131" spans="1:2" ht="12.75">
      <c r="A131" t="s">
        <v>1364</v>
      </c>
      <c r="B131" s="605">
        <v>0</v>
      </c>
    </row>
    <row r="132" spans="1:2" ht="12.75">
      <c r="A132" t="s">
        <v>1365</v>
      </c>
      <c r="B132" s="606">
        <v>-14</v>
      </c>
    </row>
    <row r="133" spans="1:2" ht="12.75">
      <c r="A133" s="607" t="s">
        <v>1403</v>
      </c>
      <c r="B133" s="608">
        <f>SUM(B130:B132)</f>
        <v>431</v>
      </c>
    </row>
    <row r="134" spans="1:2" ht="12.75">
      <c r="A134" t="s">
        <v>1369</v>
      </c>
      <c r="B134" s="606">
        <v>0</v>
      </c>
    </row>
    <row r="135" spans="1:2" ht="12.75">
      <c r="A135" s="607" t="s">
        <v>1283</v>
      </c>
      <c r="B135" s="625">
        <f>SUM(B133:B134)</f>
        <v>431</v>
      </c>
    </row>
  </sheetData>
  <mergeCells count="13">
    <mergeCell ref="A2:E2"/>
    <mergeCell ref="A3:E3"/>
    <mergeCell ref="C6:E6"/>
    <mergeCell ref="A36:E36"/>
    <mergeCell ref="A37:E37"/>
    <mergeCell ref="C40:E40"/>
    <mergeCell ref="A69:E69"/>
    <mergeCell ref="A70:E70"/>
    <mergeCell ref="C106:E106"/>
    <mergeCell ref="C73:E73"/>
    <mergeCell ref="A102:E102"/>
    <mergeCell ref="A103:E103"/>
    <mergeCell ref="D104:E104"/>
  </mergeCells>
  <printOptions/>
  <pageMargins left="0.24" right="0.35433070866141736" top="0.25" bottom="0.25" header="0.25" footer="0.25"/>
  <pageSetup horizontalDpi="600" verticalDpi="600" orientation="portrait" paperSize="9" scale="95" r:id="rId1"/>
  <headerFooter alignWithMargins="0">
    <oddHeader>&amp;L13. 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K41"/>
  <sheetViews>
    <sheetView workbookViewId="0" topLeftCell="A13">
      <selection activeCell="F38" sqref="F38"/>
    </sheetView>
  </sheetViews>
  <sheetFormatPr defaultColWidth="9.00390625" defaultRowHeight="12.75"/>
  <cols>
    <col min="1" max="1" width="6.625" style="32" customWidth="1"/>
    <col min="2" max="2" width="52.25390625" style="32" customWidth="1"/>
    <col min="3" max="3" width="15.25390625" style="32" customWidth="1"/>
    <col min="4" max="4" width="11.75390625" style="32" customWidth="1"/>
    <col min="5" max="5" width="12.75390625" style="32" customWidth="1"/>
    <col min="6" max="6" width="10.875" style="32" customWidth="1"/>
    <col min="7" max="7" width="12.75390625" style="32" customWidth="1"/>
    <col min="8" max="8" width="12.25390625" style="32" customWidth="1"/>
    <col min="9" max="9" width="13.00390625" style="32" customWidth="1"/>
    <col min="10" max="10" width="12.375" style="32" customWidth="1"/>
    <col min="11" max="11" width="9.125" style="32" customWidth="1"/>
    <col min="12" max="12" width="10.625" style="32" customWidth="1"/>
    <col min="13" max="16384" width="9.125" style="32" customWidth="1"/>
  </cols>
  <sheetData>
    <row r="2" spans="1:9" ht="15.75">
      <c r="A2" s="1210" t="s">
        <v>1370</v>
      </c>
      <c r="B2" s="1210"/>
      <c r="C2" s="1211"/>
      <c r="D2" s="1211"/>
      <c r="E2" s="1211"/>
      <c r="F2" s="1211"/>
      <c r="G2" s="1211"/>
      <c r="H2" s="1211"/>
      <c r="I2" s="1211"/>
    </row>
    <row r="3" spans="1:3" ht="15.75">
      <c r="A3" s="627"/>
      <c r="B3" s="627"/>
      <c r="C3" s="627"/>
    </row>
    <row r="4" spans="1:9" ht="15.75">
      <c r="A4" s="1177" t="s">
        <v>1192</v>
      </c>
      <c r="B4" s="1212"/>
      <c r="C4" s="1212"/>
      <c r="D4" s="1212"/>
      <c r="E4" s="1212"/>
      <c r="F4" s="1212"/>
      <c r="G4" s="1212"/>
      <c r="H4" s="1212"/>
      <c r="I4" s="1212"/>
    </row>
    <row r="5" spans="1:9" ht="16.5" thickBot="1">
      <c r="A5" s="626"/>
      <c r="B5" s="194"/>
      <c r="C5" s="194"/>
      <c r="D5" s="194"/>
      <c r="E5" s="194"/>
      <c r="F5" s="194"/>
      <c r="G5" s="194"/>
      <c r="H5" s="194"/>
      <c r="I5" s="194"/>
    </row>
    <row r="6" spans="1:11" s="628" customFormat="1" ht="15.75" customHeight="1" thickBot="1" thickTop="1">
      <c r="A6" s="1213" t="s">
        <v>1371</v>
      </c>
      <c r="B6" s="1214"/>
      <c r="C6" s="1217" t="s">
        <v>1372</v>
      </c>
      <c r="D6" s="1219" t="s">
        <v>1373</v>
      </c>
      <c r="E6" s="1219"/>
      <c r="F6" s="1219" t="s">
        <v>1374</v>
      </c>
      <c r="G6" s="1205" t="s">
        <v>1193</v>
      </c>
      <c r="H6" s="1205" t="s">
        <v>1196</v>
      </c>
      <c r="I6" s="1205" t="s">
        <v>1194</v>
      </c>
      <c r="J6" s="1205" t="s">
        <v>1197</v>
      </c>
      <c r="K6" s="1207" t="s">
        <v>1195</v>
      </c>
    </row>
    <row r="7" spans="1:11" s="628" customFormat="1" ht="37.5" customHeight="1" thickBot="1">
      <c r="A7" s="1215"/>
      <c r="B7" s="1216"/>
      <c r="C7" s="1218"/>
      <c r="D7" s="811" t="s">
        <v>1375</v>
      </c>
      <c r="E7" s="811" t="s">
        <v>1376</v>
      </c>
      <c r="F7" s="1220"/>
      <c r="G7" s="1221"/>
      <c r="H7" s="1206"/>
      <c r="I7" s="1206"/>
      <c r="J7" s="1206"/>
      <c r="K7" s="1208"/>
    </row>
    <row r="8" spans="1:11" s="628" customFormat="1" ht="14.25" customHeight="1" thickBot="1">
      <c r="A8" s="1202" t="s">
        <v>1024</v>
      </c>
      <c r="B8" s="1203"/>
      <c r="C8" s="1204"/>
      <c r="D8" s="1204"/>
      <c r="E8" s="1204"/>
      <c r="F8" s="1204"/>
      <c r="G8" s="1204"/>
      <c r="H8" s="1204"/>
      <c r="I8" s="1204"/>
      <c r="J8" s="800"/>
      <c r="K8" s="801"/>
    </row>
    <row r="9" spans="1:11" ht="14.25" customHeight="1" thickBot="1">
      <c r="A9" s="802">
        <v>1</v>
      </c>
      <c r="B9" s="630" t="s">
        <v>1378</v>
      </c>
      <c r="C9" s="630" t="s">
        <v>591</v>
      </c>
      <c r="D9" s="629">
        <v>1999</v>
      </c>
      <c r="E9" s="806">
        <v>19150</v>
      </c>
      <c r="F9" s="631">
        <v>2009</v>
      </c>
      <c r="G9" s="806">
        <v>1110</v>
      </c>
      <c r="H9" s="806">
        <v>1110</v>
      </c>
      <c r="I9" s="799">
        <v>0</v>
      </c>
      <c r="J9" s="632">
        <v>0</v>
      </c>
      <c r="K9" s="807">
        <v>0</v>
      </c>
    </row>
    <row r="10" spans="1:11" ht="14.25" customHeight="1" thickBot="1">
      <c r="A10" s="802">
        <v>2</v>
      </c>
      <c r="B10" s="630" t="s">
        <v>592</v>
      </c>
      <c r="C10" s="630" t="s">
        <v>1377</v>
      </c>
      <c r="D10" s="629">
        <v>2002</v>
      </c>
      <c r="E10" s="806">
        <v>13130</v>
      </c>
      <c r="F10" s="631">
        <v>2012</v>
      </c>
      <c r="G10" s="806">
        <v>5830</v>
      </c>
      <c r="H10" s="806">
        <v>1460</v>
      </c>
      <c r="I10" s="799">
        <v>4370</v>
      </c>
      <c r="J10" s="632">
        <v>4370</v>
      </c>
      <c r="K10" s="807">
        <v>1460</v>
      </c>
    </row>
    <row r="11" spans="1:11" ht="14.25" customHeight="1" thickBot="1">
      <c r="A11" s="802">
        <v>3</v>
      </c>
      <c r="B11" s="630" t="s">
        <v>1198</v>
      </c>
      <c r="C11" s="630" t="s">
        <v>593</v>
      </c>
      <c r="D11" s="629">
        <v>2006</v>
      </c>
      <c r="E11" s="806">
        <v>5680</v>
      </c>
      <c r="F11" s="631">
        <v>2012</v>
      </c>
      <c r="G11" s="806">
        <v>3793</v>
      </c>
      <c r="H11" s="806">
        <v>791</v>
      </c>
      <c r="I11" s="799">
        <v>3002</v>
      </c>
      <c r="J11" s="632">
        <v>3002</v>
      </c>
      <c r="K11" s="807">
        <v>999</v>
      </c>
    </row>
    <row r="12" spans="1:11" ht="14.25" customHeight="1" thickBot="1">
      <c r="A12" s="802">
        <v>4</v>
      </c>
      <c r="B12" s="630" t="s">
        <v>1199</v>
      </c>
      <c r="C12" s="630" t="s">
        <v>1377</v>
      </c>
      <c r="D12" s="629">
        <v>2006</v>
      </c>
      <c r="E12" s="806">
        <v>100000</v>
      </c>
      <c r="F12" s="631">
        <v>2016</v>
      </c>
      <c r="G12" s="806">
        <v>85932</v>
      </c>
      <c r="H12" s="806">
        <v>10938</v>
      </c>
      <c r="I12" s="799">
        <v>74994</v>
      </c>
      <c r="J12" s="632">
        <v>85581</v>
      </c>
      <c r="K12" s="807">
        <v>12683</v>
      </c>
    </row>
    <row r="13" spans="1:11" ht="14.25" customHeight="1" thickBot="1">
      <c r="A13" s="802">
        <v>5</v>
      </c>
      <c r="B13" s="630" t="s">
        <v>1200</v>
      </c>
      <c r="C13" s="630" t="s">
        <v>1377</v>
      </c>
      <c r="D13" s="629">
        <v>2008</v>
      </c>
      <c r="E13" s="806">
        <v>3569115</v>
      </c>
      <c r="F13" s="631">
        <v>2031</v>
      </c>
      <c r="G13" s="806">
        <v>3569115</v>
      </c>
      <c r="H13" s="806">
        <v>0</v>
      </c>
      <c r="I13" s="799">
        <v>3569115</v>
      </c>
      <c r="J13" s="632">
        <v>4086921</v>
      </c>
      <c r="K13" s="807">
        <v>0</v>
      </c>
    </row>
    <row r="14" spans="1:11" ht="14.25" customHeight="1" thickBot="1">
      <c r="A14" s="803"/>
      <c r="B14" s="808" t="s">
        <v>170</v>
      </c>
      <c r="C14" s="804"/>
      <c r="D14" s="805"/>
      <c r="E14" s="809">
        <f>SUM(E9:E13)</f>
        <v>3707075</v>
      </c>
      <c r="F14" s="809"/>
      <c r="G14" s="809">
        <f>SUM(G9:G13)</f>
        <v>3665780</v>
      </c>
      <c r="H14" s="809">
        <f>SUM(H9:H13)</f>
        <v>14299</v>
      </c>
      <c r="I14" s="809">
        <f>SUM(I9:I13)</f>
        <v>3651481</v>
      </c>
      <c r="J14" s="809">
        <f>SUM(J9:J13)</f>
        <v>4179874</v>
      </c>
      <c r="K14" s="810">
        <f>SUM(K9:K13)</f>
        <v>15142</v>
      </c>
    </row>
    <row r="15" ht="16.5" thickTop="1"/>
    <row r="17" spans="2:5" ht="15.75">
      <c r="B17" s="1209" t="s">
        <v>1522</v>
      </c>
      <c r="C17" s="1209"/>
      <c r="D17" s="1209"/>
      <c r="E17" s="1209"/>
    </row>
    <row r="18" spans="1:9" ht="16.5" thickBot="1">
      <c r="A18" s="190"/>
      <c r="B18" s="190"/>
      <c r="C18" s="190"/>
      <c r="D18" s="190"/>
      <c r="E18" s="190"/>
      <c r="F18" s="190"/>
      <c r="G18" s="190"/>
      <c r="H18" s="190"/>
      <c r="I18" s="190"/>
    </row>
    <row r="19" spans="2:5" ht="48" thickTop="1">
      <c r="B19" s="922" t="s">
        <v>594</v>
      </c>
      <c r="C19" s="923" t="s">
        <v>595</v>
      </c>
      <c r="D19" s="923" t="s">
        <v>596</v>
      </c>
      <c r="E19" s="924" t="s">
        <v>1500</v>
      </c>
    </row>
    <row r="20" spans="2:5" ht="15.75">
      <c r="B20" s="925" t="s">
        <v>1501</v>
      </c>
      <c r="C20" s="926">
        <v>2009</v>
      </c>
      <c r="D20" s="927">
        <v>7000</v>
      </c>
      <c r="E20" s="928">
        <v>2500</v>
      </c>
    </row>
    <row r="21" spans="2:5" ht="15.75">
      <c r="B21" s="925" t="s">
        <v>1502</v>
      </c>
      <c r="C21" s="926">
        <v>2009</v>
      </c>
      <c r="D21" s="927">
        <v>56461</v>
      </c>
      <c r="E21" s="928">
        <v>34421</v>
      </c>
    </row>
    <row r="22" spans="2:5" ht="15.75">
      <c r="B22" s="925" t="s">
        <v>1503</v>
      </c>
      <c r="C22" s="926">
        <v>2009</v>
      </c>
      <c r="D22" s="927">
        <v>3997</v>
      </c>
      <c r="E22" s="928">
        <v>2996</v>
      </c>
    </row>
    <row r="23" spans="2:5" ht="15.75">
      <c r="B23" s="925" t="s">
        <v>1504</v>
      </c>
      <c r="C23" s="926">
        <v>2009</v>
      </c>
      <c r="D23" s="927">
        <v>13327</v>
      </c>
      <c r="E23" s="928">
        <v>12788</v>
      </c>
    </row>
    <row r="24" spans="2:5" ht="15.75">
      <c r="B24" s="925" t="s">
        <v>1505</v>
      </c>
      <c r="C24" s="926">
        <v>2009</v>
      </c>
      <c r="D24" s="927">
        <v>18344</v>
      </c>
      <c r="E24" s="928">
        <v>17831</v>
      </c>
    </row>
    <row r="25" spans="2:5" ht="15.75">
      <c r="B25" s="925" t="s">
        <v>1506</v>
      </c>
      <c r="C25" s="926">
        <v>2009</v>
      </c>
      <c r="D25" s="927">
        <v>13434</v>
      </c>
      <c r="E25" s="928">
        <v>13025</v>
      </c>
    </row>
    <row r="26" spans="2:5" ht="15.75">
      <c r="B26" s="929" t="s">
        <v>1507</v>
      </c>
      <c r="C26" s="930">
        <v>2010</v>
      </c>
      <c r="D26" s="931">
        <v>15455</v>
      </c>
      <c r="E26" s="932">
        <v>6805</v>
      </c>
    </row>
    <row r="27" spans="2:5" ht="15.75">
      <c r="B27" s="929" t="s">
        <v>1508</v>
      </c>
      <c r="C27" s="930">
        <v>2010</v>
      </c>
      <c r="D27" s="931">
        <v>34562</v>
      </c>
      <c r="E27" s="932">
        <v>600</v>
      </c>
    </row>
    <row r="28" spans="2:5" ht="15.75">
      <c r="B28" s="929" t="s">
        <v>1509</v>
      </c>
      <c r="C28" s="930">
        <v>2010</v>
      </c>
      <c r="D28" s="931">
        <v>72211</v>
      </c>
      <c r="E28" s="932">
        <v>2420</v>
      </c>
    </row>
    <row r="29" spans="2:5" ht="15.75">
      <c r="B29" s="929" t="s">
        <v>1510</v>
      </c>
      <c r="C29" s="930">
        <v>2010</v>
      </c>
      <c r="D29" s="931">
        <v>457166</v>
      </c>
      <c r="E29" s="932">
        <v>11665</v>
      </c>
    </row>
    <row r="30" spans="2:5" ht="15.75">
      <c r="B30" s="929" t="s">
        <v>1511</v>
      </c>
      <c r="C30" s="930">
        <v>2010</v>
      </c>
      <c r="D30" s="931">
        <v>558288</v>
      </c>
      <c r="E30" s="932">
        <v>5312</v>
      </c>
    </row>
    <row r="31" spans="2:5" ht="15.75">
      <c r="B31" s="929" t="s">
        <v>1512</v>
      </c>
      <c r="C31" s="930">
        <v>2011</v>
      </c>
      <c r="D31" s="931">
        <v>692154</v>
      </c>
      <c r="E31" s="932">
        <v>1531</v>
      </c>
    </row>
    <row r="32" spans="2:5" ht="15.75">
      <c r="B32" s="929" t="s">
        <v>1513</v>
      </c>
      <c r="C32" s="930">
        <v>2010</v>
      </c>
      <c r="D32" s="931">
        <v>86313</v>
      </c>
      <c r="E32" s="932">
        <v>1254</v>
      </c>
    </row>
    <row r="33" spans="2:5" ht="15.75">
      <c r="B33" s="929" t="s">
        <v>1514</v>
      </c>
      <c r="C33" s="930">
        <v>2010</v>
      </c>
      <c r="D33" s="931">
        <v>414318</v>
      </c>
      <c r="E33" s="932">
        <v>462</v>
      </c>
    </row>
    <row r="34" spans="2:5" ht="15.75">
      <c r="B34" s="929" t="s">
        <v>1515</v>
      </c>
      <c r="C34" s="930">
        <v>2011</v>
      </c>
      <c r="D34" s="931">
        <v>125274</v>
      </c>
      <c r="E34" s="932">
        <v>63</v>
      </c>
    </row>
    <row r="35" spans="2:5" ht="15.75">
      <c r="B35" s="929" t="s">
        <v>1516</v>
      </c>
      <c r="C35" s="930">
        <v>2011</v>
      </c>
      <c r="D35" s="931">
        <v>936138</v>
      </c>
      <c r="E35" s="932">
        <v>3137</v>
      </c>
    </row>
    <row r="36" spans="2:5" ht="15.75">
      <c r="B36" s="929" t="s">
        <v>1517</v>
      </c>
      <c r="C36" s="930">
        <v>2011</v>
      </c>
      <c r="D36" s="931">
        <v>420200</v>
      </c>
      <c r="E36" s="932">
        <v>2200</v>
      </c>
    </row>
    <row r="37" spans="2:5" ht="15.75">
      <c r="B37" s="929" t="s">
        <v>1518</v>
      </c>
      <c r="C37" s="930">
        <v>2010</v>
      </c>
      <c r="D37" s="931">
        <v>49779</v>
      </c>
      <c r="E37" s="932">
        <v>725</v>
      </c>
    </row>
    <row r="38" spans="2:5" ht="15.75">
      <c r="B38" s="929" t="s">
        <v>1519</v>
      </c>
      <c r="C38" s="930">
        <v>2011</v>
      </c>
      <c r="D38" s="931">
        <v>149993</v>
      </c>
      <c r="E38" s="932">
        <v>2998</v>
      </c>
    </row>
    <row r="39" spans="2:5" ht="15.75">
      <c r="B39" s="929" t="s">
        <v>1520</v>
      </c>
      <c r="C39" s="930">
        <v>2010</v>
      </c>
      <c r="D39" s="931">
        <v>21738</v>
      </c>
      <c r="E39" s="932">
        <v>0</v>
      </c>
    </row>
    <row r="40" spans="2:5" ht="16.5" thickBot="1">
      <c r="B40" s="933" t="s">
        <v>1521</v>
      </c>
      <c r="C40" s="934">
        <v>2011</v>
      </c>
      <c r="D40" s="931">
        <v>35000</v>
      </c>
      <c r="E40" s="935">
        <v>0</v>
      </c>
    </row>
    <row r="41" spans="2:5" ht="16.5" thickBot="1">
      <c r="B41" s="936" t="s">
        <v>1328</v>
      </c>
      <c r="C41" s="937" t="s">
        <v>1523</v>
      </c>
      <c r="D41" s="938">
        <v>4068589</v>
      </c>
      <c r="E41" s="939">
        <f>SUM(E20:E40)</f>
        <v>122733</v>
      </c>
    </row>
    <row r="42" ht="16.5" thickTop="1"/>
  </sheetData>
  <mergeCells count="13">
    <mergeCell ref="A2:I2"/>
    <mergeCell ref="A4:I4"/>
    <mergeCell ref="A6:B7"/>
    <mergeCell ref="C6:C7"/>
    <mergeCell ref="D6:E6"/>
    <mergeCell ref="F6:F7"/>
    <mergeCell ref="G6:G7"/>
    <mergeCell ref="H6:H7"/>
    <mergeCell ref="I6:I7"/>
    <mergeCell ref="A8:I8"/>
    <mergeCell ref="J6:J7"/>
    <mergeCell ref="K6:K7"/>
    <mergeCell ref="B17:E17"/>
  </mergeCells>
  <printOptions horizontalCentered="1"/>
  <pageMargins left="0.1968503937007874" right="0.1968503937007874" top="0.34" bottom="0.2755905511811024" header="0.1968503937007874" footer="0.15748031496062992"/>
  <pageSetup horizontalDpi="600" verticalDpi="600" orientation="landscape" paperSize="9" scale="78" r:id="rId1"/>
  <headerFooter alignWithMargins="0">
    <oddHeader>&amp;L14. 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9">
      <selection activeCell="B45" sqref="B45"/>
    </sheetView>
  </sheetViews>
  <sheetFormatPr defaultColWidth="9.00390625" defaultRowHeight="12.75"/>
  <cols>
    <col min="1" max="1" width="4.75390625" style="0" customWidth="1"/>
    <col min="2" max="2" width="78.125" style="0" customWidth="1"/>
    <col min="3" max="6" width="16.75390625" style="0" customWidth="1"/>
  </cols>
  <sheetData>
    <row r="1" spans="1:6" ht="15.75">
      <c r="A1" s="636"/>
      <c r="B1" s="1177" t="s">
        <v>392</v>
      </c>
      <c r="C1" s="1177"/>
      <c r="D1" s="1177"/>
      <c r="E1" s="1177"/>
      <c r="F1" s="1177"/>
    </row>
    <row r="2" spans="1:6" ht="15.75" thickBot="1">
      <c r="A2" s="636"/>
      <c r="B2" s="636"/>
      <c r="C2" s="636"/>
      <c r="D2" s="636"/>
      <c r="E2" s="636"/>
      <c r="F2" s="636"/>
    </row>
    <row r="3" spans="1:6" ht="64.5" customHeight="1" thickTop="1">
      <c r="A3" s="1222" t="s">
        <v>1334</v>
      </c>
      <c r="B3" s="1223"/>
      <c r="C3" s="637" t="s">
        <v>1524</v>
      </c>
      <c r="D3" s="637" t="s">
        <v>1282</v>
      </c>
      <c r="E3" s="638" t="s">
        <v>506</v>
      </c>
      <c r="F3" s="639" t="s">
        <v>1286</v>
      </c>
    </row>
    <row r="4" spans="1:6" ht="14.25" customHeight="1">
      <c r="A4" s="640" t="s">
        <v>1525</v>
      </c>
      <c r="B4" s="641" t="s">
        <v>393</v>
      </c>
      <c r="C4" s="642"/>
      <c r="D4" s="643"/>
      <c r="E4" s="642"/>
      <c r="F4" s="644">
        <f>SUM(C4:E4)</f>
        <v>0</v>
      </c>
    </row>
    <row r="5" spans="1:6" ht="14.25" customHeight="1">
      <c r="A5" s="640" t="s">
        <v>1526</v>
      </c>
      <c r="B5" s="641" t="s">
        <v>394</v>
      </c>
      <c r="C5" s="642">
        <v>2330318</v>
      </c>
      <c r="D5" s="643">
        <v>1436</v>
      </c>
      <c r="E5" s="642">
        <v>5367</v>
      </c>
      <c r="F5" s="644">
        <f aca="true" t="shared" si="0" ref="F5:F41">SUM(C5:E5)</f>
        <v>2337121</v>
      </c>
    </row>
    <row r="6" spans="1:6" ht="14.25" customHeight="1">
      <c r="A6" s="640" t="s">
        <v>1528</v>
      </c>
      <c r="B6" s="641" t="s">
        <v>1527</v>
      </c>
      <c r="C6" s="642">
        <v>499</v>
      </c>
      <c r="D6" s="643"/>
      <c r="E6" s="642">
        <v>62</v>
      </c>
      <c r="F6" s="644">
        <f t="shared" si="0"/>
        <v>561</v>
      </c>
    </row>
    <row r="7" spans="1:6" ht="14.25" customHeight="1">
      <c r="A7" s="640" t="s">
        <v>395</v>
      </c>
      <c r="B7" s="645" t="s">
        <v>396</v>
      </c>
      <c r="C7" s="646">
        <f>SUM(C4:C6)</f>
        <v>2330817</v>
      </c>
      <c r="D7" s="646">
        <f>SUM(D4:D6)</f>
        <v>1436</v>
      </c>
      <c r="E7" s="646">
        <f>SUM(E4:E6)</f>
        <v>5429</v>
      </c>
      <c r="F7" s="644">
        <f t="shared" si="0"/>
        <v>2337682</v>
      </c>
    </row>
    <row r="8" spans="1:6" ht="14.25" customHeight="1">
      <c r="A8" s="640" t="s">
        <v>1530</v>
      </c>
      <c r="B8" s="779" t="s">
        <v>397</v>
      </c>
      <c r="C8" s="646"/>
      <c r="D8" s="646"/>
      <c r="E8" s="646"/>
      <c r="F8" s="644">
        <f t="shared" si="0"/>
        <v>0</v>
      </c>
    </row>
    <row r="9" spans="1:6" ht="14.25" customHeight="1">
      <c r="A9" s="640" t="s">
        <v>1531</v>
      </c>
      <c r="B9" s="641" t="s">
        <v>398</v>
      </c>
      <c r="C9" s="642"/>
      <c r="D9" s="643"/>
      <c r="E9" s="642"/>
      <c r="F9" s="644">
        <f t="shared" si="0"/>
        <v>0</v>
      </c>
    </row>
    <row r="10" spans="1:6" ht="14.25" customHeight="1">
      <c r="A10" s="640" t="s">
        <v>1532</v>
      </c>
      <c r="B10" s="780" t="s">
        <v>399</v>
      </c>
      <c r="C10" s="781">
        <f>SUM(C8:C9)</f>
        <v>0</v>
      </c>
      <c r="D10" s="781">
        <f>SUM(D8:D9)</f>
        <v>0</v>
      </c>
      <c r="E10" s="781">
        <f>SUM(E8:E9)</f>
        <v>0</v>
      </c>
      <c r="F10" s="644">
        <f t="shared" si="0"/>
        <v>0</v>
      </c>
    </row>
    <row r="11" spans="1:6" ht="14.25" customHeight="1">
      <c r="A11" s="640" t="s">
        <v>1533</v>
      </c>
      <c r="B11" s="641" t="s">
        <v>400</v>
      </c>
      <c r="C11" s="642">
        <v>165577</v>
      </c>
      <c r="D11" s="642">
        <v>32</v>
      </c>
      <c r="E11" s="642"/>
      <c r="F11" s="644">
        <f t="shared" si="0"/>
        <v>165609</v>
      </c>
    </row>
    <row r="12" spans="1:6" ht="14.25" customHeight="1">
      <c r="A12" s="640" t="s">
        <v>1534</v>
      </c>
      <c r="B12" s="641" t="s">
        <v>401</v>
      </c>
      <c r="C12" s="642">
        <v>54557</v>
      </c>
      <c r="D12" s="643">
        <v>3238</v>
      </c>
      <c r="E12" s="642">
        <v>20417</v>
      </c>
      <c r="F12" s="644">
        <f t="shared" si="0"/>
        <v>78212</v>
      </c>
    </row>
    <row r="13" spans="1:6" ht="14.25" customHeight="1">
      <c r="A13" s="640" t="s">
        <v>1535</v>
      </c>
      <c r="B13" s="641" t="s">
        <v>402</v>
      </c>
      <c r="C13" s="642">
        <v>10</v>
      </c>
      <c r="D13" s="643"/>
      <c r="E13" s="642"/>
      <c r="F13" s="644">
        <f t="shared" si="0"/>
        <v>10</v>
      </c>
    </row>
    <row r="14" spans="1:6" ht="14.25" customHeight="1">
      <c r="A14" s="640" t="s">
        <v>1536</v>
      </c>
      <c r="B14" s="641" t="s">
        <v>403</v>
      </c>
      <c r="C14" s="642">
        <f>SUM(C11:C13)</f>
        <v>220144</v>
      </c>
      <c r="D14" s="642">
        <f>SUM(D11:D13)</f>
        <v>3270</v>
      </c>
      <c r="E14" s="642">
        <f>SUM(E11:E13)</f>
        <v>20417</v>
      </c>
      <c r="F14" s="644">
        <f t="shared" si="0"/>
        <v>243831</v>
      </c>
    </row>
    <row r="15" spans="1:6" ht="14.25" customHeight="1">
      <c r="A15" s="640" t="s">
        <v>1537</v>
      </c>
      <c r="B15" s="779" t="s">
        <v>404</v>
      </c>
      <c r="C15" s="782">
        <v>7046</v>
      </c>
      <c r="D15" s="782"/>
      <c r="E15" s="782">
        <v>25083</v>
      </c>
      <c r="F15" s="644">
        <f t="shared" si="0"/>
        <v>32129</v>
      </c>
    </row>
    <row r="16" spans="1:6" ht="14.25" customHeight="1">
      <c r="A16" s="640" t="s">
        <v>1538</v>
      </c>
      <c r="B16" s="641" t="s">
        <v>405</v>
      </c>
      <c r="C16" s="642">
        <v>98858</v>
      </c>
      <c r="D16" s="643">
        <v>20</v>
      </c>
      <c r="E16" s="642"/>
      <c r="F16" s="644">
        <f t="shared" si="0"/>
        <v>98878</v>
      </c>
    </row>
    <row r="17" spans="1:6" ht="14.25" customHeight="1">
      <c r="A17" s="640" t="s">
        <v>1539</v>
      </c>
      <c r="B17" s="641" t="s">
        <v>406</v>
      </c>
      <c r="C17" s="642">
        <v>2132</v>
      </c>
      <c r="D17" s="643"/>
      <c r="E17" s="642"/>
      <c r="F17" s="644">
        <f t="shared" si="0"/>
        <v>2132</v>
      </c>
    </row>
    <row r="18" spans="1:6" ht="14.25" customHeight="1">
      <c r="A18" s="640" t="s">
        <v>1541</v>
      </c>
      <c r="B18" s="779" t="s">
        <v>407</v>
      </c>
      <c r="C18" s="782">
        <f>SUM(C15:C17)</f>
        <v>108036</v>
      </c>
      <c r="D18" s="782">
        <f>SUM(D15:D17)</f>
        <v>20</v>
      </c>
      <c r="E18" s="782">
        <f>SUM(E15:E17)</f>
        <v>25083</v>
      </c>
      <c r="F18" s="644">
        <f t="shared" si="0"/>
        <v>133139</v>
      </c>
    </row>
    <row r="19" spans="1:6" ht="14.25" customHeight="1">
      <c r="A19" s="640" t="s">
        <v>1542</v>
      </c>
      <c r="B19" s="780" t="s">
        <v>408</v>
      </c>
      <c r="C19" s="781">
        <f>SUM(C14-C18)</f>
        <v>112108</v>
      </c>
      <c r="D19" s="781">
        <f>SUM(D14-D18)</f>
        <v>3250</v>
      </c>
      <c r="E19" s="781">
        <f>SUM(E14-E18)</f>
        <v>-4666</v>
      </c>
      <c r="F19" s="644">
        <f t="shared" si="0"/>
        <v>110692</v>
      </c>
    </row>
    <row r="20" spans="1:6" ht="14.25" customHeight="1">
      <c r="A20" s="640" t="s">
        <v>1543</v>
      </c>
      <c r="B20" s="641" t="s">
        <v>1166</v>
      </c>
      <c r="C20" s="642"/>
      <c r="D20" s="643"/>
      <c r="E20" s="642"/>
      <c r="F20" s="644">
        <f t="shared" si="0"/>
        <v>0</v>
      </c>
    </row>
    <row r="21" spans="1:6" ht="14.25" customHeight="1">
      <c r="A21" s="640" t="s">
        <v>1545</v>
      </c>
      <c r="B21" s="641" t="s">
        <v>1167</v>
      </c>
      <c r="C21" s="642"/>
      <c r="D21" s="642"/>
      <c r="E21" s="642"/>
      <c r="F21" s="644">
        <f t="shared" si="0"/>
        <v>0</v>
      </c>
    </row>
    <row r="22" spans="1:6" ht="14.25" customHeight="1">
      <c r="A22" s="640" t="s">
        <v>1546</v>
      </c>
      <c r="B22" s="780" t="s">
        <v>1168</v>
      </c>
      <c r="C22" s="781">
        <f>SUM(C20:C21)</f>
        <v>0</v>
      </c>
      <c r="D22" s="781">
        <f>SUM(D20:D21)</f>
        <v>0</v>
      </c>
      <c r="E22" s="781">
        <f>SUM(E20:E21)</f>
        <v>0</v>
      </c>
      <c r="F22" s="644">
        <f t="shared" si="0"/>
        <v>0</v>
      </c>
    </row>
    <row r="23" spans="1:6" ht="14.25" customHeight="1">
      <c r="A23" s="640" t="s">
        <v>1547</v>
      </c>
      <c r="B23" s="641" t="s">
        <v>1169</v>
      </c>
      <c r="C23" s="642"/>
      <c r="D23" s="643"/>
      <c r="E23" s="642"/>
      <c r="F23" s="644">
        <f t="shared" si="0"/>
        <v>0</v>
      </c>
    </row>
    <row r="24" spans="1:6" ht="14.25" customHeight="1">
      <c r="A24" s="783" t="s">
        <v>1548</v>
      </c>
      <c r="B24" s="645" t="s">
        <v>1170</v>
      </c>
      <c r="C24" s="646">
        <f>SUM(C7+C10+C19+C22+C23)</f>
        <v>2442925</v>
      </c>
      <c r="D24" s="646">
        <f>SUM(D7+D10+D19+D22+D23)</f>
        <v>4686</v>
      </c>
      <c r="E24" s="646">
        <f>SUM(E7+E10+E19+E22+E23)</f>
        <v>763</v>
      </c>
      <c r="F24" s="644">
        <f t="shared" si="0"/>
        <v>2448374</v>
      </c>
    </row>
    <row r="25" spans="1:6" ht="14.25" customHeight="1">
      <c r="A25" s="640" t="s">
        <v>1549</v>
      </c>
      <c r="B25" s="641" t="s">
        <v>1540</v>
      </c>
      <c r="C25" s="642"/>
      <c r="D25" s="643"/>
      <c r="E25" s="642"/>
      <c r="F25" s="644">
        <f t="shared" si="0"/>
        <v>0</v>
      </c>
    </row>
    <row r="26" spans="1:6" ht="14.25" customHeight="1">
      <c r="A26" s="640" t="s">
        <v>1550</v>
      </c>
      <c r="B26" s="641" t="s">
        <v>1171</v>
      </c>
      <c r="C26" s="642">
        <v>-2167</v>
      </c>
      <c r="D26" s="643"/>
      <c r="E26" s="642"/>
      <c r="F26" s="644">
        <f t="shared" si="0"/>
        <v>-2167</v>
      </c>
    </row>
    <row r="27" spans="1:6" ht="14.25" customHeight="1">
      <c r="A27" s="640" t="s">
        <v>1551</v>
      </c>
      <c r="B27" s="779" t="s">
        <v>1172</v>
      </c>
      <c r="C27" s="782">
        <v>-51063</v>
      </c>
      <c r="D27" s="782">
        <v>51063</v>
      </c>
      <c r="E27" s="782"/>
      <c r="F27" s="644">
        <f t="shared" si="0"/>
        <v>0</v>
      </c>
    </row>
    <row r="28" spans="1:6" ht="14.25" customHeight="1">
      <c r="A28" s="640" t="s">
        <v>1552</v>
      </c>
      <c r="B28" s="641" t="s">
        <v>1544</v>
      </c>
      <c r="C28" s="642"/>
      <c r="D28" s="643"/>
      <c r="E28" s="642"/>
      <c r="F28" s="644">
        <f t="shared" si="0"/>
        <v>0</v>
      </c>
    </row>
    <row r="29" spans="1:6" ht="14.25" customHeight="1">
      <c r="A29" s="640" t="s">
        <v>1553</v>
      </c>
      <c r="B29" s="780" t="s">
        <v>1173</v>
      </c>
      <c r="C29" s="781">
        <f>SUM(C25:C28)</f>
        <v>-53230</v>
      </c>
      <c r="D29" s="781">
        <f>SUM(D25:D28)</f>
        <v>51063</v>
      </c>
      <c r="E29" s="781">
        <f>SUM(E25:E28)</f>
        <v>0</v>
      </c>
      <c r="F29" s="644">
        <f t="shared" si="0"/>
        <v>-2167</v>
      </c>
    </row>
    <row r="30" spans="1:6" ht="14.25" customHeight="1">
      <c r="A30" s="640" t="s">
        <v>872</v>
      </c>
      <c r="B30" s="641" t="s">
        <v>1174</v>
      </c>
      <c r="C30" s="642">
        <v>43680</v>
      </c>
      <c r="D30" s="642">
        <v>-43680</v>
      </c>
      <c r="E30" s="642"/>
      <c r="F30" s="644">
        <f t="shared" si="0"/>
        <v>0</v>
      </c>
    </row>
    <row r="31" spans="1:6" ht="14.25" customHeight="1">
      <c r="A31" s="640" t="s">
        <v>873</v>
      </c>
      <c r="B31" s="780" t="s">
        <v>1175</v>
      </c>
      <c r="C31" s="781">
        <f>SUM(C24+C29+C30)</f>
        <v>2433375</v>
      </c>
      <c r="D31" s="781">
        <f>SUM(D24+D29+D30)</f>
        <v>12069</v>
      </c>
      <c r="E31" s="781">
        <f>SUM(E24+E29+E30)</f>
        <v>763</v>
      </c>
      <c r="F31" s="644">
        <f t="shared" si="0"/>
        <v>2446207</v>
      </c>
    </row>
    <row r="32" spans="1:6" ht="14.25" customHeight="1">
      <c r="A32" s="640" t="s">
        <v>874</v>
      </c>
      <c r="B32" s="641" t="s">
        <v>1176</v>
      </c>
      <c r="C32" s="642"/>
      <c r="D32" s="643"/>
      <c r="E32" s="642"/>
      <c r="F32" s="644">
        <f t="shared" si="0"/>
        <v>0</v>
      </c>
    </row>
    <row r="33" spans="1:6" ht="14.25" customHeight="1">
      <c r="A33" s="784" t="s">
        <v>875</v>
      </c>
      <c r="B33" s="785" t="s">
        <v>1177</v>
      </c>
      <c r="C33" s="786"/>
      <c r="D33" s="787"/>
      <c r="E33" s="786"/>
      <c r="F33" s="644">
        <f t="shared" si="0"/>
        <v>0</v>
      </c>
    </row>
    <row r="34" spans="1:6" ht="14.25" customHeight="1">
      <c r="A34" s="784" t="s">
        <v>876</v>
      </c>
      <c r="B34" s="788" t="s">
        <v>1178</v>
      </c>
      <c r="C34" s="789">
        <f>SUM(C31+C32+C33)</f>
        <v>2433375</v>
      </c>
      <c r="D34" s="789">
        <f>SUM(D31+D32+D33)</f>
        <v>12069</v>
      </c>
      <c r="E34" s="789">
        <f>SUM(E31+E32+E33)</f>
        <v>763</v>
      </c>
      <c r="F34" s="644">
        <f t="shared" si="0"/>
        <v>2446207</v>
      </c>
    </row>
    <row r="35" spans="1:6" ht="14.25" customHeight="1">
      <c r="A35" s="784" t="s">
        <v>877</v>
      </c>
      <c r="B35" s="785" t="s">
        <v>1179</v>
      </c>
      <c r="C35" s="786"/>
      <c r="D35" s="787"/>
      <c r="E35" s="786"/>
      <c r="F35" s="644">
        <f t="shared" si="0"/>
        <v>0</v>
      </c>
    </row>
    <row r="36" spans="1:6" ht="14.25" customHeight="1">
      <c r="A36" s="784" t="s">
        <v>878</v>
      </c>
      <c r="B36" s="785" t="s">
        <v>1180</v>
      </c>
      <c r="C36" s="789">
        <f>SUM(C37:C38)</f>
        <v>2433375</v>
      </c>
      <c r="D36" s="789">
        <f>SUM(D37:D38)</f>
        <v>12069</v>
      </c>
      <c r="E36" s="789">
        <f>SUM(E37:E38)</f>
        <v>763</v>
      </c>
      <c r="F36" s="644">
        <f t="shared" si="0"/>
        <v>2446207</v>
      </c>
    </row>
    <row r="37" spans="1:6" ht="14.25" customHeight="1">
      <c r="A37" s="784" t="s">
        <v>879</v>
      </c>
      <c r="B37" s="785" t="s">
        <v>1181</v>
      </c>
      <c r="C37" s="786">
        <v>547361</v>
      </c>
      <c r="D37" s="786">
        <v>11819</v>
      </c>
      <c r="E37" s="786"/>
      <c r="F37" s="644">
        <f t="shared" si="0"/>
        <v>559180</v>
      </c>
    </row>
    <row r="38" spans="1:6" ht="14.25" customHeight="1">
      <c r="A38" s="784" t="s">
        <v>880</v>
      </c>
      <c r="B38" s="785" t="s">
        <v>1182</v>
      </c>
      <c r="C38" s="786">
        <v>1886014</v>
      </c>
      <c r="D38" s="786">
        <v>250</v>
      </c>
      <c r="E38" s="786">
        <v>763</v>
      </c>
      <c r="F38" s="644">
        <f t="shared" si="0"/>
        <v>1887027</v>
      </c>
    </row>
    <row r="39" spans="1:6" ht="14.25" customHeight="1">
      <c r="A39" s="784" t="s">
        <v>881</v>
      </c>
      <c r="B39" s="785" t="s">
        <v>1183</v>
      </c>
      <c r="C39" s="786">
        <f>SUM(C40:C41)</f>
        <v>0</v>
      </c>
      <c r="D39" s="786">
        <f>SUM(D40:D41)</f>
        <v>0</v>
      </c>
      <c r="E39" s="786">
        <f>SUM(E40:E41)</f>
        <v>0</v>
      </c>
      <c r="F39" s="644">
        <f t="shared" si="0"/>
        <v>0</v>
      </c>
    </row>
    <row r="40" spans="1:6" ht="14.25" customHeight="1">
      <c r="A40" s="784" t="s">
        <v>882</v>
      </c>
      <c r="B40" s="785" t="s">
        <v>1184</v>
      </c>
      <c r="C40" s="786"/>
      <c r="D40" s="787"/>
      <c r="E40" s="786"/>
      <c r="F40" s="644">
        <f t="shared" si="0"/>
        <v>0</v>
      </c>
    </row>
    <row r="41" spans="1:6" ht="14.25" customHeight="1" thickBot="1">
      <c r="A41" s="647" t="s">
        <v>886</v>
      </c>
      <c r="B41" s="790" t="s">
        <v>1185</v>
      </c>
      <c r="C41" s="648"/>
      <c r="D41" s="649"/>
      <c r="E41" s="648"/>
      <c r="F41" s="650">
        <f t="shared" si="0"/>
        <v>0</v>
      </c>
    </row>
    <row r="42" spans="1:6" ht="15.75" thickTop="1">
      <c r="A42" s="636"/>
      <c r="B42" s="636"/>
      <c r="C42" s="636"/>
      <c r="D42" s="636"/>
      <c r="E42" s="636"/>
      <c r="F42" s="636"/>
    </row>
  </sheetData>
  <mergeCells count="2">
    <mergeCell ref="B1:F1"/>
    <mergeCell ref="A3:B3"/>
  </mergeCells>
  <printOptions/>
  <pageMargins left="0.59" right="0.53" top="0.27" bottom="0.21" header="0.16" footer="0.16"/>
  <pageSetup horizontalDpi="600" verticalDpi="600" orientation="landscape" paperSize="9" scale="90" r:id="rId1"/>
  <headerFooter alignWithMargins="0">
    <oddHeader>&amp;L15. sz. melléklet 1. oldal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5:R30"/>
  <sheetViews>
    <sheetView workbookViewId="0" topLeftCell="A1">
      <selection activeCell="C30" sqref="C30"/>
    </sheetView>
  </sheetViews>
  <sheetFormatPr defaultColWidth="9.00390625" defaultRowHeight="12.75"/>
  <cols>
    <col min="1" max="1" width="31.00390625" style="4" customWidth="1"/>
    <col min="2" max="2" width="10.625" style="4" customWidth="1"/>
    <col min="3" max="4" width="8.875" style="4" customWidth="1"/>
    <col min="5" max="5" width="9.125" style="4" customWidth="1"/>
    <col min="6" max="6" width="8.75390625" style="4" customWidth="1"/>
    <col min="7" max="7" width="7.875" style="4" customWidth="1"/>
    <col min="8" max="8" width="8.375" style="4" customWidth="1"/>
    <col min="9" max="9" width="7.75390625" style="4" customWidth="1"/>
    <col min="10" max="10" width="9.75390625" style="4" customWidth="1"/>
    <col min="11" max="11" width="8.75390625" style="4" customWidth="1"/>
    <col min="12" max="12" width="8.625" style="4" customWidth="1"/>
    <col min="13" max="13" width="8.875" style="4" customWidth="1"/>
    <col min="14" max="14" width="9.125" style="4" customWidth="1"/>
    <col min="15" max="15" width="9.75390625" style="4" customWidth="1"/>
    <col min="16" max="16" width="11.625" style="4" customWidth="1"/>
    <col min="17" max="17" width="9.875" style="4" customWidth="1"/>
    <col min="18" max="18" width="9.375" style="4" customWidth="1"/>
    <col min="19" max="16384" width="9.125" style="4" customWidth="1"/>
  </cols>
  <sheetData>
    <row r="5" spans="1:18" ht="15.75">
      <c r="A5" s="1180" t="s">
        <v>1186</v>
      </c>
      <c r="B5" s="1180"/>
      <c r="C5" s="1180"/>
      <c r="D5" s="1180"/>
      <c r="E5" s="1180"/>
      <c r="F5" s="1180"/>
      <c r="G5" s="1180"/>
      <c r="H5" s="1180"/>
      <c r="I5" s="1180"/>
      <c r="J5" s="1180"/>
      <c r="K5" s="1180"/>
      <c r="L5" s="1180"/>
      <c r="M5" s="1180"/>
      <c r="N5" s="1180"/>
      <c r="O5" s="1180"/>
      <c r="P5" s="1180"/>
      <c r="Q5" s="1180"/>
      <c r="R5" s="1180"/>
    </row>
    <row r="6" spans="1:18" ht="15.75">
      <c r="A6" s="543"/>
      <c r="B6" s="543"/>
      <c r="C6" s="543"/>
      <c r="D6" s="543"/>
      <c r="E6" s="543"/>
      <c r="F6" s="543"/>
      <c r="G6" s="543"/>
      <c r="H6" s="543"/>
      <c r="I6" s="543"/>
      <c r="J6" s="543"/>
      <c r="K6" s="543"/>
      <c r="L6" s="542"/>
      <c r="M6" s="542"/>
      <c r="N6" s="542"/>
      <c r="O6" s="542"/>
      <c r="P6" s="542"/>
      <c r="Q6" s="542"/>
      <c r="R6" s="542"/>
    </row>
    <row r="7" spans="1:18" ht="15.75">
      <c r="A7" s="543"/>
      <c r="B7" s="543"/>
      <c r="C7" s="543"/>
      <c r="D7" s="543"/>
      <c r="E7" s="543"/>
      <c r="F7" s="543"/>
      <c r="G7" s="543"/>
      <c r="H7" s="543"/>
      <c r="I7" s="543"/>
      <c r="J7" s="543"/>
      <c r="K7" s="543"/>
      <c r="L7" s="542"/>
      <c r="M7" s="542"/>
      <c r="N7" s="542"/>
      <c r="O7" s="542"/>
      <c r="P7" s="542"/>
      <c r="Q7" s="542"/>
      <c r="R7" s="542"/>
    </row>
    <row r="8" spans="1:18" ht="15.75">
      <c r="A8" s="543"/>
      <c r="B8" s="543"/>
      <c r="C8" s="543"/>
      <c r="D8" s="543"/>
      <c r="E8" s="543"/>
      <c r="F8" s="543"/>
      <c r="G8" s="543"/>
      <c r="H8" s="543"/>
      <c r="I8" s="543"/>
      <c r="J8" s="543"/>
      <c r="K8" s="543"/>
      <c r="L8" s="542"/>
      <c r="M8" s="542"/>
      <c r="N8" s="542"/>
      <c r="O8" s="542"/>
      <c r="P8" s="542"/>
      <c r="Q8" s="542"/>
      <c r="R8" s="542"/>
    </row>
    <row r="9" ht="13.5" thickBot="1"/>
    <row r="10" spans="1:18" ht="13.5" thickTop="1">
      <c r="A10" s="1235" t="s">
        <v>1025</v>
      </c>
      <c r="B10" s="1228" t="s">
        <v>1554</v>
      </c>
      <c r="C10" s="1228" t="s">
        <v>1555</v>
      </c>
      <c r="D10" s="1238" t="s">
        <v>1556</v>
      </c>
      <c r="E10" s="1241" t="s">
        <v>1557</v>
      </c>
      <c r="F10" s="1242"/>
      <c r="G10" s="1231" t="s">
        <v>1558</v>
      </c>
      <c r="H10" s="1232"/>
      <c r="I10" s="1232"/>
      <c r="J10" s="1232"/>
      <c r="K10" s="1232"/>
      <c r="L10" s="1232"/>
      <c r="M10" s="1233"/>
      <c r="N10" s="1231" t="s">
        <v>1275</v>
      </c>
      <c r="O10" s="1232"/>
      <c r="P10" s="1233"/>
      <c r="Q10" s="1228" t="s">
        <v>1278</v>
      </c>
      <c r="R10" s="1243" t="s">
        <v>1286</v>
      </c>
    </row>
    <row r="11" spans="1:18" ht="12.75" customHeight="1">
      <c r="A11" s="1236"/>
      <c r="B11" s="1224"/>
      <c r="C11" s="1224"/>
      <c r="D11" s="1239"/>
      <c r="E11" s="1246" t="s">
        <v>1559</v>
      </c>
      <c r="F11" s="1247"/>
      <c r="G11" s="1224" t="s">
        <v>72</v>
      </c>
      <c r="H11" s="1224" t="s">
        <v>1324</v>
      </c>
      <c r="I11" s="1224" t="s">
        <v>413</v>
      </c>
      <c r="J11" s="651" t="s">
        <v>73</v>
      </c>
      <c r="K11" s="651" t="s">
        <v>1311</v>
      </c>
      <c r="L11" s="1226" t="s">
        <v>1164</v>
      </c>
      <c r="M11" s="1234" t="s">
        <v>1274</v>
      </c>
      <c r="N11" s="1224" t="s">
        <v>1275</v>
      </c>
      <c r="O11" s="1224" t="s">
        <v>1276</v>
      </c>
      <c r="P11" s="1224" t="s">
        <v>1277</v>
      </c>
      <c r="Q11" s="1229"/>
      <c r="R11" s="1244"/>
    </row>
    <row r="12" spans="1:18" ht="12.75">
      <c r="A12" s="1236"/>
      <c r="B12" s="1224"/>
      <c r="C12" s="1224"/>
      <c r="D12" s="1239"/>
      <c r="E12" s="1248" t="s">
        <v>74</v>
      </c>
      <c r="F12" s="1249"/>
      <c r="G12" s="1224"/>
      <c r="H12" s="1224"/>
      <c r="I12" s="1224"/>
      <c r="J12" s="651" t="s">
        <v>1279</v>
      </c>
      <c r="K12" s="651"/>
      <c r="L12" s="1226"/>
      <c r="M12" s="1224"/>
      <c r="N12" s="1224"/>
      <c r="O12" s="1224"/>
      <c r="P12" s="1224"/>
      <c r="Q12" s="1229"/>
      <c r="R12" s="1244"/>
    </row>
    <row r="13" spans="1:18" ht="13.5" thickBot="1">
      <c r="A13" s="1237"/>
      <c r="B13" s="1225"/>
      <c r="C13" s="1225"/>
      <c r="D13" s="1240"/>
      <c r="E13" s="992" t="s">
        <v>75</v>
      </c>
      <c r="F13" s="652" t="s">
        <v>76</v>
      </c>
      <c r="G13" s="1225"/>
      <c r="H13" s="1225"/>
      <c r="I13" s="1225"/>
      <c r="J13" s="653" t="s">
        <v>1280</v>
      </c>
      <c r="K13" s="653"/>
      <c r="L13" s="1227"/>
      <c r="M13" s="1225"/>
      <c r="N13" s="1225"/>
      <c r="O13" s="1225"/>
      <c r="P13" s="1225"/>
      <c r="Q13" s="1230"/>
      <c r="R13" s="1245"/>
    </row>
    <row r="14" spans="1:18" ht="13.5" thickTop="1">
      <c r="A14" s="49" t="s">
        <v>77</v>
      </c>
      <c r="B14" s="366">
        <v>2442925</v>
      </c>
      <c r="C14" s="366">
        <v>-9550</v>
      </c>
      <c r="D14" s="995">
        <f>SUM(B14:C14)</f>
        <v>2433375</v>
      </c>
      <c r="E14" s="337">
        <v>150000</v>
      </c>
      <c r="F14" s="551">
        <v>1700000</v>
      </c>
      <c r="G14" s="551"/>
      <c r="H14" s="551"/>
      <c r="I14" s="551">
        <v>13662</v>
      </c>
      <c r="J14" s="551">
        <v>12000</v>
      </c>
      <c r="K14" s="551">
        <v>134000</v>
      </c>
      <c r="L14" s="551">
        <v>22733</v>
      </c>
      <c r="M14" s="551">
        <v>17281</v>
      </c>
      <c r="N14" s="551">
        <v>71448</v>
      </c>
      <c r="O14" s="654">
        <v>4000</v>
      </c>
      <c r="P14" s="654">
        <v>2150</v>
      </c>
      <c r="Q14" s="654">
        <v>306101</v>
      </c>
      <c r="R14" s="655">
        <f>SUM(E14:Q14)</f>
        <v>2433375</v>
      </c>
    </row>
    <row r="15" spans="1:18" ht="12.75">
      <c r="A15" s="49"/>
      <c r="B15" s="366"/>
      <c r="C15" s="366"/>
      <c r="D15" s="995"/>
      <c r="E15" s="337"/>
      <c r="F15" s="551"/>
      <c r="G15" s="551"/>
      <c r="H15" s="551"/>
      <c r="I15" s="551"/>
      <c r="J15" s="551"/>
      <c r="K15" s="551"/>
      <c r="L15" s="551"/>
      <c r="M15" s="551"/>
      <c r="N15" s="551"/>
      <c r="O15" s="654"/>
      <c r="P15" s="654"/>
      <c r="Q15" s="654"/>
      <c r="R15" s="655"/>
    </row>
    <row r="16" spans="1:18" ht="12.75">
      <c r="A16" s="49" t="s">
        <v>78</v>
      </c>
      <c r="B16" s="366">
        <f>SUM(B17:B19)</f>
        <v>431</v>
      </c>
      <c r="C16" s="366"/>
      <c r="D16" s="995">
        <f>SUM(D17:D19)</f>
        <v>431</v>
      </c>
      <c r="E16" s="337"/>
      <c r="F16" s="654"/>
      <c r="G16" s="654"/>
      <c r="H16" s="654"/>
      <c r="I16" s="654">
        <f>SUM(I17:I19)</f>
        <v>431</v>
      </c>
      <c r="J16" s="654"/>
      <c r="K16" s="654"/>
      <c r="L16" s="654"/>
      <c r="M16" s="654"/>
      <c r="N16" s="551"/>
      <c r="O16" s="654"/>
      <c r="P16" s="654"/>
      <c r="Q16" s="654"/>
      <c r="R16" s="655">
        <f>SUM(E16:Q16)</f>
        <v>431</v>
      </c>
    </row>
    <row r="17" spans="1:18" ht="12.75">
      <c r="A17" s="656" t="s">
        <v>79</v>
      </c>
      <c r="B17" s="551">
        <v>35</v>
      </c>
      <c r="C17" s="366"/>
      <c r="D17" s="996">
        <f>SUM(B17:C17)</f>
        <v>35</v>
      </c>
      <c r="E17" s="337"/>
      <c r="F17" s="551"/>
      <c r="G17" s="551"/>
      <c r="H17" s="551"/>
      <c r="I17" s="551">
        <v>35</v>
      </c>
      <c r="J17" s="551"/>
      <c r="K17" s="551"/>
      <c r="L17" s="551"/>
      <c r="M17" s="551"/>
      <c r="N17" s="551"/>
      <c r="O17" s="654"/>
      <c r="P17" s="654"/>
      <c r="Q17" s="654"/>
      <c r="R17" s="655">
        <f aca="true" t="shared" si="0" ref="R17:R23">SUM(E17:Q17)</f>
        <v>35</v>
      </c>
    </row>
    <row r="18" spans="1:18" ht="12.75">
      <c r="A18" s="10" t="s">
        <v>80</v>
      </c>
      <c r="B18" s="204">
        <v>35</v>
      </c>
      <c r="C18" s="204"/>
      <c r="D18" s="996">
        <f>SUM(B18:C18)</f>
        <v>35</v>
      </c>
      <c r="E18" s="340"/>
      <c r="F18" s="204"/>
      <c r="G18" s="204"/>
      <c r="H18" s="204"/>
      <c r="I18" s="204">
        <v>35</v>
      </c>
      <c r="J18" s="204"/>
      <c r="K18" s="204"/>
      <c r="L18" s="551"/>
      <c r="M18" s="551"/>
      <c r="N18" s="551"/>
      <c r="O18" s="654"/>
      <c r="P18" s="654"/>
      <c r="Q18" s="654"/>
      <c r="R18" s="655">
        <f t="shared" si="0"/>
        <v>35</v>
      </c>
    </row>
    <row r="19" spans="1:18" ht="12.75">
      <c r="A19" s="10" t="s">
        <v>81</v>
      </c>
      <c r="B19" s="204">
        <v>361</v>
      </c>
      <c r="C19" s="204"/>
      <c r="D19" s="996">
        <f>SUM(B19:C19)</f>
        <v>361</v>
      </c>
      <c r="E19" s="340"/>
      <c r="F19" s="204"/>
      <c r="G19" s="204"/>
      <c r="H19" s="204"/>
      <c r="I19" s="204">
        <v>361</v>
      </c>
      <c r="J19" s="204"/>
      <c r="K19" s="204"/>
      <c r="L19" s="551"/>
      <c r="M19" s="551"/>
      <c r="N19" s="551"/>
      <c r="O19" s="654"/>
      <c r="P19" s="654"/>
      <c r="Q19" s="654"/>
      <c r="R19" s="655">
        <f t="shared" si="0"/>
        <v>361</v>
      </c>
    </row>
    <row r="20" spans="1:18" ht="12.75">
      <c r="A20" s="10"/>
      <c r="B20" s="204"/>
      <c r="C20" s="204"/>
      <c r="D20" s="995"/>
      <c r="E20" s="340"/>
      <c r="F20" s="204"/>
      <c r="G20" s="204"/>
      <c r="H20" s="204"/>
      <c r="I20" s="204"/>
      <c r="J20" s="204"/>
      <c r="K20" s="204"/>
      <c r="L20" s="551"/>
      <c r="M20" s="551"/>
      <c r="N20" s="551"/>
      <c r="O20" s="654"/>
      <c r="P20" s="654"/>
      <c r="Q20" s="654"/>
      <c r="R20" s="655"/>
    </row>
    <row r="21" spans="1:18" ht="12.75">
      <c r="A21" s="26" t="s">
        <v>82</v>
      </c>
      <c r="B21" s="209">
        <v>763</v>
      </c>
      <c r="C21" s="209"/>
      <c r="D21" s="995">
        <f>SUM(B21:C21)</f>
        <v>763</v>
      </c>
      <c r="E21" s="993"/>
      <c r="F21" s="204"/>
      <c r="G21" s="204"/>
      <c r="H21" s="204"/>
      <c r="I21" s="204"/>
      <c r="J21" s="204"/>
      <c r="K21" s="204">
        <v>763</v>
      </c>
      <c r="L21" s="551"/>
      <c r="M21" s="551"/>
      <c r="N21" s="551"/>
      <c r="O21" s="654"/>
      <c r="P21" s="654"/>
      <c r="Q21" s="654"/>
      <c r="R21" s="655">
        <f t="shared" si="0"/>
        <v>763</v>
      </c>
    </row>
    <row r="22" spans="1:18" ht="12.75">
      <c r="A22" s="10"/>
      <c r="B22" s="204"/>
      <c r="C22" s="204"/>
      <c r="D22" s="995"/>
      <c r="E22" s="340"/>
      <c r="F22" s="204"/>
      <c r="G22" s="204"/>
      <c r="H22" s="204"/>
      <c r="I22" s="204"/>
      <c r="J22" s="204"/>
      <c r="K22" s="204"/>
      <c r="L22" s="551"/>
      <c r="M22" s="551"/>
      <c r="N22" s="551"/>
      <c r="O22" s="654"/>
      <c r="P22" s="654"/>
      <c r="Q22" s="654"/>
      <c r="R22" s="655"/>
    </row>
    <row r="23" spans="1:18" ht="12.75">
      <c r="A23" s="26" t="s">
        <v>83</v>
      </c>
      <c r="B23" s="209">
        <v>4686</v>
      </c>
      <c r="C23" s="209">
        <v>7383</v>
      </c>
      <c r="D23" s="995">
        <f>SUM(B23:C23)</f>
        <v>12069</v>
      </c>
      <c r="E23" s="340"/>
      <c r="F23" s="204"/>
      <c r="G23" s="204">
        <v>2204</v>
      </c>
      <c r="H23" s="204">
        <v>530</v>
      </c>
      <c r="I23" s="204">
        <v>9085</v>
      </c>
      <c r="J23" s="204"/>
      <c r="K23" s="204">
        <v>250</v>
      </c>
      <c r="L23" s="551"/>
      <c r="M23" s="551"/>
      <c r="N23" s="551"/>
      <c r="O23" s="654"/>
      <c r="P23" s="654"/>
      <c r="Q23" s="654"/>
      <c r="R23" s="655">
        <f t="shared" si="0"/>
        <v>12069</v>
      </c>
    </row>
    <row r="24" spans="1:18" ht="12.75">
      <c r="A24" s="67"/>
      <c r="B24" s="212"/>
      <c r="C24" s="212"/>
      <c r="D24" s="997"/>
      <c r="E24" s="994"/>
      <c r="F24" s="448"/>
      <c r="G24" s="448"/>
      <c r="H24" s="448"/>
      <c r="I24" s="448"/>
      <c r="J24" s="448"/>
      <c r="K24" s="448"/>
      <c r="L24" s="448"/>
      <c r="M24" s="448"/>
      <c r="N24" s="551"/>
      <c r="O24" s="654"/>
      <c r="P24" s="654"/>
      <c r="Q24" s="654"/>
      <c r="R24" s="657"/>
    </row>
    <row r="25" spans="1:18" ht="13.5" thickBot="1">
      <c r="A25" s="27" t="s">
        <v>84</v>
      </c>
      <c r="B25" s="215">
        <f>SUM(B14+B21+B23)</f>
        <v>2448374</v>
      </c>
      <c r="C25" s="215">
        <f>SUM(C14+C21+C23)</f>
        <v>-2167</v>
      </c>
      <c r="D25" s="998">
        <f>SUM(B25:C25)</f>
        <v>2446207</v>
      </c>
      <c r="E25" s="467">
        <f aca="true" t="shared" si="1" ref="E25:R25">SUM(E14+E21+E23)</f>
        <v>150000</v>
      </c>
      <c r="F25" s="215">
        <f t="shared" si="1"/>
        <v>1700000</v>
      </c>
      <c r="G25" s="215">
        <f t="shared" si="1"/>
        <v>2204</v>
      </c>
      <c r="H25" s="215">
        <f t="shared" si="1"/>
        <v>530</v>
      </c>
      <c r="I25" s="215">
        <f t="shared" si="1"/>
        <v>22747</v>
      </c>
      <c r="J25" s="215">
        <f t="shared" si="1"/>
        <v>12000</v>
      </c>
      <c r="K25" s="215">
        <f t="shared" si="1"/>
        <v>135013</v>
      </c>
      <c r="L25" s="215">
        <f t="shared" si="1"/>
        <v>22733</v>
      </c>
      <c r="M25" s="215">
        <f t="shared" si="1"/>
        <v>17281</v>
      </c>
      <c r="N25" s="215">
        <f t="shared" si="1"/>
        <v>71448</v>
      </c>
      <c r="O25" s="215">
        <f t="shared" si="1"/>
        <v>4000</v>
      </c>
      <c r="P25" s="215">
        <f t="shared" si="1"/>
        <v>2150</v>
      </c>
      <c r="Q25" s="215">
        <f t="shared" si="1"/>
        <v>306101</v>
      </c>
      <c r="R25" s="658">
        <f t="shared" si="1"/>
        <v>2446207</v>
      </c>
    </row>
    <row r="26" spans="1:18" ht="13.5" thickTop="1">
      <c r="A26" s="7"/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</row>
    <row r="28" spans="1:5" ht="12.75">
      <c r="A28" s="542"/>
      <c r="B28" s="542"/>
      <c r="C28" s="542"/>
      <c r="D28" s="542"/>
      <c r="E28" s="9"/>
    </row>
    <row r="30" ht="12.75">
      <c r="G30" s="9"/>
    </row>
  </sheetData>
  <mergeCells count="20">
    <mergeCell ref="A5:R5"/>
    <mergeCell ref="A10:A13"/>
    <mergeCell ref="B10:B13"/>
    <mergeCell ref="C10:C13"/>
    <mergeCell ref="D10:D13"/>
    <mergeCell ref="E10:F10"/>
    <mergeCell ref="R10:R13"/>
    <mergeCell ref="E11:F11"/>
    <mergeCell ref="G11:G13"/>
    <mergeCell ref="E12:F12"/>
    <mergeCell ref="H11:H13"/>
    <mergeCell ref="I11:I13"/>
    <mergeCell ref="L11:L13"/>
    <mergeCell ref="Q10:Q13"/>
    <mergeCell ref="N10:P10"/>
    <mergeCell ref="G10:M10"/>
    <mergeCell ref="P11:P13"/>
    <mergeCell ref="O11:O13"/>
    <mergeCell ref="N11:N13"/>
    <mergeCell ref="M11:M13"/>
  </mergeCells>
  <printOptions/>
  <pageMargins left="0.2" right="0.2" top="1" bottom="1" header="0.5" footer="0.5"/>
  <pageSetup horizontalDpi="600" verticalDpi="600" orientation="landscape" paperSize="9" scale="77" r:id="rId1"/>
  <headerFooter alignWithMargins="0">
    <oddHeader>&amp;L15. sz. melléklet 2. oldal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1">
      <selection activeCell="A9" sqref="A9"/>
    </sheetView>
  </sheetViews>
  <sheetFormatPr defaultColWidth="9.00390625" defaultRowHeight="12.75"/>
  <cols>
    <col min="1" max="1" width="61.625" style="946" customWidth="1"/>
    <col min="2" max="2" width="12.00390625" style="974" customWidth="1"/>
    <col min="3" max="3" width="12.00390625" style="946" customWidth="1"/>
    <col min="4" max="4" width="12.625" style="946" customWidth="1"/>
    <col min="5" max="7" width="12.00390625" style="946" customWidth="1"/>
    <col min="8" max="8" width="18.00390625" style="946" customWidth="1"/>
    <col min="9" max="16384" width="9.125" style="946" customWidth="1"/>
  </cols>
  <sheetData>
    <row r="2" spans="1:8" ht="12">
      <c r="A2" s="1250" t="s">
        <v>1459</v>
      </c>
      <c r="B2" s="1251"/>
      <c r="C2" s="1251"/>
      <c r="D2" s="1251"/>
      <c r="E2" s="1251"/>
      <c r="F2" s="1251"/>
      <c r="G2" s="1251"/>
      <c r="H2" s="1251"/>
    </row>
    <row r="3" spans="1:8" ht="12.75" thickBot="1">
      <c r="A3" s="947"/>
      <c r="B3" s="948"/>
      <c r="C3" s="948"/>
      <c r="D3" s="948"/>
      <c r="E3" s="948"/>
      <c r="F3" s="948"/>
      <c r="G3" s="948"/>
      <c r="H3" s="948"/>
    </row>
    <row r="4" spans="1:8" ht="12.75" customHeight="1" thickTop="1">
      <c r="A4" s="949" t="s">
        <v>1460</v>
      </c>
      <c r="B4" s="1252" t="s">
        <v>1461</v>
      </c>
      <c r="C4" s="1253"/>
      <c r="D4" s="1254"/>
      <c r="E4" s="1255" t="s">
        <v>1462</v>
      </c>
      <c r="F4" s="1256"/>
      <c r="G4" s="1257"/>
      <c r="H4" s="1258" t="s">
        <v>1463</v>
      </c>
    </row>
    <row r="5" spans="1:8" ht="12">
      <c r="A5" s="950" t="s">
        <v>1464</v>
      </c>
      <c r="B5" s="951"/>
      <c r="C5" s="952"/>
      <c r="D5" s="952"/>
      <c r="E5" s="952"/>
      <c r="F5" s="952"/>
      <c r="G5" s="952"/>
      <c r="H5" s="1259"/>
    </row>
    <row r="6" spans="1:8" ht="12">
      <c r="A6" s="953" t="s">
        <v>1465</v>
      </c>
      <c r="B6" s="954">
        <v>23945</v>
      </c>
      <c r="C6" s="954">
        <v>1057</v>
      </c>
      <c r="D6" s="954">
        <v>25309865</v>
      </c>
      <c r="E6" s="954">
        <v>23945</v>
      </c>
      <c r="F6" s="954">
        <v>1057</v>
      </c>
      <c r="G6" s="954">
        <v>25309865</v>
      </c>
      <c r="H6" s="955">
        <f>G6-D6</f>
        <v>0</v>
      </c>
    </row>
    <row r="7" spans="1:8" ht="12">
      <c r="A7" s="953" t="s">
        <v>1466</v>
      </c>
      <c r="B7" s="954">
        <v>596</v>
      </c>
      <c r="C7" s="954">
        <v>3088</v>
      </c>
      <c r="D7" s="954">
        <v>1840448</v>
      </c>
      <c r="E7" s="954">
        <v>596</v>
      </c>
      <c r="F7" s="954">
        <v>3088</v>
      </c>
      <c r="G7" s="954">
        <v>1840448</v>
      </c>
      <c r="H7" s="955">
        <f aca="true" t="shared" si="0" ref="H7:H68">G7-D7</f>
        <v>0</v>
      </c>
    </row>
    <row r="8" spans="1:8" ht="12">
      <c r="A8" s="953" t="s">
        <v>1467</v>
      </c>
      <c r="B8" s="954"/>
      <c r="C8" s="954"/>
      <c r="D8" s="954">
        <v>40202745</v>
      </c>
      <c r="E8" s="954"/>
      <c r="F8" s="954"/>
      <c r="G8" s="954">
        <v>40202745</v>
      </c>
      <c r="H8" s="955">
        <f t="shared" si="0"/>
        <v>0</v>
      </c>
    </row>
    <row r="9" spans="1:8" ht="12">
      <c r="A9" s="953" t="s">
        <v>1468</v>
      </c>
      <c r="B9" s="954">
        <v>2</v>
      </c>
      <c r="C9" s="954">
        <v>15000000</v>
      </c>
      <c r="D9" s="954">
        <v>30000000</v>
      </c>
      <c r="E9" s="954">
        <v>2</v>
      </c>
      <c r="F9" s="954">
        <v>14962126</v>
      </c>
      <c r="G9" s="954">
        <f>E9*F9</f>
        <v>29924252</v>
      </c>
      <c r="H9" s="955">
        <f t="shared" si="0"/>
        <v>-75748</v>
      </c>
    </row>
    <row r="10" spans="1:8" ht="12">
      <c r="A10" s="953" t="s">
        <v>1469</v>
      </c>
      <c r="B10" s="954"/>
      <c r="C10" s="954"/>
      <c r="D10" s="954">
        <v>113762695</v>
      </c>
      <c r="E10" s="954"/>
      <c r="F10" s="954"/>
      <c r="G10" s="954">
        <v>113762695</v>
      </c>
      <c r="H10" s="955">
        <f t="shared" si="0"/>
        <v>0</v>
      </c>
    </row>
    <row r="11" spans="1:8" ht="12">
      <c r="A11" s="953" t="s">
        <v>1470</v>
      </c>
      <c r="B11" s="954">
        <v>39429</v>
      </c>
      <c r="C11" s="954"/>
      <c r="D11" s="954">
        <v>31148910</v>
      </c>
      <c r="E11" s="954">
        <v>39429</v>
      </c>
      <c r="F11" s="954"/>
      <c r="G11" s="954">
        <v>31148910</v>
      </c>
      <c r="H11" s="955">
        <f t="shared" si="0"/>
        <v>0</v>
      </c>
    </row>
    <row r="12" spans="1:8" ht="12">
      <c r="A12" s="953" t="s">
        <v>1471</v>
      </c>
      <c r="B12" s="954">
        <v>23945</v>
      </c>
      <c r="C12" s="954">
        <v>515</v>
      </c>
      <c r="D12" s="954">
        <v>12331675</v>
      </c>
      <c r="E12" s="954">
        <v>23945</v>
      </c>
      <c r="F12" s="954">
        <v>515</v>
      </c>
      <c r="G12" s="954">
        <v>12331675</v>
      </c>
      <c r="H12" s="955">
        <f t="shared" si="0"/>
        <v>0</v>
      </c>
    </row>
    <row r="13" spans="1:8" ht="12">
      <c r="A13" s="953" t="s">
        <v>1472</v>
      </c>
      <c r="B13" s="954">
        <v>23945</v>
      </c>
      <c r="C13" s="954">
        <v>500</v>
      </c>
      <c r="D13" s="954">
        <f>B13*C13</f>
        <v>11972500</v>
      </c>
      <c r="E13" s="954">
        <v>23945</v>
      </c>
      <c r="F13" s="954">
        <v>500</v>
      </c>
      <c r="G13" s="954">
        <v>11972500</v>
      </c>
      <c r="H13" s="955">
        <f t="shared" si="0"/>
        <v>0</v>
      </c>
    </row>
    <row r="14" spans="1:8" ht="12">
      <c r="A14" s="953" t="s">
        <v>1473</v>
      </c>
      <c r="B14" s="954">
        <v>23945</v>
      </c>
      <c r="C14" s="954">
        <v>1061</v>
      </c>
      <c r="D14" s="954">
        <v>25405645</v>
      </c>
      <c r="E14" s="954">
        <v>23945</v>
      </c>
      <c r="F14" s="954">
        <v>1061</v>
      </c>
      <c r="G14" s="954">
        <v>25405645</v>
      </c>
      <c r="H14" s="955">
        <f t="shared" si="0"/>
        <v>0</v>
      </c>
    </row>
    <row r="15" spans="1:8" ht="12">
      <c r="A15" s="953" t="s">
        <v>1474</v>
      </c>
      <c r="B15" s="954">
        <v>17</v>
      </c>
      <c r="C15" s="954">
        <v>91050</v>
      </c>
      <c r="D15" s="954">
        <v>1547850</v>
      </c>
      <c r="E15" s="954">
        <v>31</v>
      </c>
      <c r="F15" s="954">
        <v>91050</v>
      </c>
      <c r="G15" s="954">
        <f>E15*F15</f>
        <v>2822550</v>
      </c>
      <c r="H15" s="955">
        <f t="shared" si="0"/>
        <v>1274700</v>
      </c>
    </row>
    <row r="16" spans="1:8" ht="12">
      <c r="A16" s="953" t="s">
        <v>1475</v>
      </c>
      <c r="B16" s="954">
        <v>99</v>
      </c>
      <c r="C16" s="954">
        <v>80700</v>
      </c>
      <c r="D16" s="954">
        <v>7989300</v>
      </c>
      <c r="E16" s="954">
        <v>74</v>
      </c>
      <c r="F16" s="954">
        <v>80700</v>
      </c>
      <c r="G16" s="954">
        <f>E16*F16</f>
        <v>5971800</v>
      </c>
      <c r="H16" s="955">
        <f t="shared" si="0"/>
        <v>-2017500</v>
      </c>
    </row>
    <row r="17" spans="1:8" ht="12">
      <c r="A17" s="953" t="s">
        <v>1476</v>
      </c>
      <c r="B17" s="954">
        <v>6</v>
      </c>
      <c r="C17" s="954">
        <v>64000</v>
      </c>
      <c r="D17" s="954">
        <v>384000</v>
      </c>
      <c r="E17" s="954">
        <v>15</v>
      </c>
      <c r="F17" s="954">
        <v>64000</v>
      </c>
      <c r="G17" s="954">
        <f>E17*F17</f>
        <v>960000</v>
      </c>
      <c r="H17" s="955">
        <f t="shared" si="0"/>
        <v>576000</v>
      </c>
    </row>
    <row r="18" spans="1:8" ht="12">
      <c r="A18" s="953" t="s">
        <v>1477</v>
      </c>
      <c r="B18" s="954">
        <v>27</v>
      </c>
      <c r="C18" s="954">
        <v>171000</v>
      </c>
      <c r="D18" s="954">
        <v>4617000</v>
      </c>
      <c r="E18" s="954">
        <v>1</v>
      </c>
      <c r="F18" s="954">
        <v>171000</v>
      </c>
      <c r="G18" s="954">
        <v>171000</v>
      </c>
      <c r="H18" s="955">
        <f t="shared" si="0"/>
        <v>-4446000</v>
      </c>
    </row>
    <row r="19" spans="1:8" ht="12">
      <c r="A19" s="953" t="s">
        <v>1478</v>
      </c>
      <c r="B19" s="954">
        <v>4</v>
      </c>
      <c r="C19" s="954">
        <v>270700</v>
      </c>
      <c r="D19" s="954">
        <v>1082800</v>
      </c>
      <c r="E19" s="954">
        <v>17</v>
      </c>
      <c r="F19" s="954">
        <v>270700</v>
      </c>
      <c r="G19" s="954">
        <f aca="true" t="shared" si="1" ref="G19:G26">E19*F19</f>
        <v>4601900</v>
      </c>
      <c r="H19" s="955">
        <f t="shared" si="0"/>
        <v>3519100</v>
      </c>
    </row>
    <row r="20" spans="1:8" ht="12">
      <c r="A20" s="953" t="s">
        <v>1479</v>
      </c>
      <c r="B20" s="954">
        <v>0</v>
      </c>
      <c r="C20" s="954">
        <v>29500</v>
      </c>
      <c r="D20" s="954">
        <f>B20*C20</f>
        <v>0</v>
      </c>
      <c r="E20" s="954">
        <v>3</v>
      </c>
      <c r="F20" s="954">
        <v>29500</v>
      </c>
      <c r="G20" s="954">
        <f t="shared" si="1"/>
        <v>88500</v>
      </c>
      <c r="H20" s="955">
        <f t="shared" si="0"/>
        <v>88500</v>
      </c>
    </row>
    <row r="21" spans="1:8" ht="12">
      <c r="A21" s="953" t="s">
        <v>1480</v>
      </c>
      <c r="B21" s="954">
        <v>65</v>
      </c>
      <c r="C21" s="954">
        <v>146200</v>
      </c>
      <c r="D21" s="954">
        <v>9503000</v>
      </c>
      <c r="E21" s="954">
        <v>65</v>
      </c>
      <c r="F21" s="954">
        <v>146200</v>
      </c>
      <c r="G21" s="954">
        <f t="shared" si="1"/>
        <v>9503000</v>
      </c>
      <c r="H21" s="955">
        <f t="shared" si="0"/>
        <v>0</v>
      </c>
    </row>
    <row r="22" spans="1:8" ht="12">
      <c r="A22" s="953" t="s">
        <v>1481</v>
      </c>
      <c r="B22" s="954">
        <v>25</v>
      </c>
      <c r="C22" s="954">
        <v>454110</v>
      </c>
      <c r="D22" s="954">
        <v>11352750</v>
      </c>
      <c r="E22" s="954">
        <v>26</v>
      </c>
      <c r="F22" s="954">
        <v>454110</v>
      </c>
      <c r="G22" s="954">
        <f t="shared" si="1"/>
        <v>11806860</v>
      </c>
      <c r="H22" s="955">
        <f t="shared" si="0"/>
        <v>454110</v>
      </c>
    </row>
    <row r="23" spans="1:8" ht="12">
      <c r="A23" s="953" t="s">
        <v>1482</v>
      </c>
      <c r="B23" s="954">
        <v>32</v>
      </c>
      <c r="C23" s="954">
        <v>214650</v>
      </c>
      <c r="D23" s="954">
        <v>6868800</v>
      </c>
      <c r="E23" s="954">
        <v>36</v>
      </c>
      <c r="F23" s="954">
        <v>214650</v>
      </c>
      <c r="G23" s="954">
        <f t="shared" si="1"/>
        <v>7727400</v>
      </c>
      <c r="H23" s="955">
        <f t="shared" si="0"/>
        <v>858600</v>
      </c>
    </row>
    <row r="24" spans="1:8" ht="12">
      <c r="A24" s="953" t="s">
        <v>1483</v>
      </c>
      <c r="B24" s="954">
        <v>26</v>
      </c>
      <c r="C24" s="954">
        <v>516750</v>
      </c>
      <c r="D24" s="954">
        <v>13435500</v>
      </c>
      <c r="E24" s="954">
        <v>28</v>
      </c>
      <c r="F24" s="954">
        <v>516750</v>
      </c>
      <c r="G24" s="954">
        <f t="shared" si="1"/>
        <v>14469000</v>
      </c>
      <c r="H24" s="955">
        <f t="shared" si="0"/>
        <v>1033500</v>
      </c>
    </row>
    <row r="25" spans="1:8" ht="12">
      <c r="A25" s="953" t="s">
        <v>1484</v>
      </c>
      <c r="B25" s="954">
        <v>52</v>
      </c>
      <c r="C25" s="954">
        <v>540150</v>
      </c>
      <c r="D25" s="954">
        <v>28087800</v>
      </c>
      <c r="E25" s="954">
        <v>46</v>
      </c>
      <c r="F25" s="954">
        <v>540150</v>
      </c>
      <c r="G25" s="954">
        <f t="shared" si="1"/>
        <v>24846900</v>
      </c>
      <c r="H25" s="955">
        <f t="shared" si="0"/>
        <v>-3240900</v>
      </c>
    </row>
    <row r="26" spans="1:8" ht="12">
      <c r="A26" s="953" t="s">
        <v>1485</v>
      </c>
      <c r="B26" s="954">
        <v>3</v>
      </c>
      <c r="C26" s="954">
        <v>65000</v>
      </c>
      <c r="D26" s="954">
        <v>195000</v>
      </c>
      <c r="E26" s="954">
        <v>4</v>
      </c>
      <c r="F26" s="954">
        <v>65000</v>
      </c>
      <c r="G26" s="954">
        <f t="shared" si="1"/>
        <v>260000</v>
      </c>
      <c r="H26" s="955">
        <f t="shared" si="0"/>
        <v>65000</v>
      </c>
    </row>
    <row r="27" spans="1:8" ht="12">
      <c r="A27" s="953" t="s">
        <v>694</v>
      </c>
      <c r="B27" s="954">
        <v>657</v>
      </c>
      <c r="C27" s="954">
        <v>2550000</v>
      </c>
      <c r="D27" s="954">
        <v>102850000</v>
      </c>
      <c r="E27" s="954">
        <v>663</v>
      </c>
      <c r="F27" s="954">
        <v>2550000</v>
      </c>
      <c r="G27" s="954">
        <v>103870000</v>
      </c>
      <c r="H27" s="955">
        <f t="shared" si="0"/>
        <v>1020000</v>
      </c>
    </row>
    <row r="28" spans="1:8" ht="12">
      <c r="A28" s="953" t="s">
        <v>695</v>
      </c>
      <c r="B28" s="954">
        <v>670</v>
      </c>
      <c r="C28" s="954">
        <v>2540000</v>
      </c>
      <c r="D28" s="954">
        <v>45974000</v>
      </c>
      <c r="E28" s="954">
        <v>670</v>
      </c>
      <c r="F28" s="954">
        <v>2540000</v>
      </c>
      <c r="G28" s="954">
        <v>45974000</v>
      </c>
      <c r="H28" s="955">
        <f t="shared" si="0"/>
        <v>0</v>
      </c>
    </row>
    <row r="29" spans="1:8" ht="12">
      <c r="A29" s="953" t="s">
        <v>696</v>
      </c>
      <c r="B29" s="954">
        <v>857</v>
      </c>
      <c r="C29" s="954">
        <v>2550000</v>
      </c>
      <c r="D29" s="954">
        <v>98770000</v>
      </c>
      <c r="E29" s="954">
        <v>852</v>
      </c>
      <c r="F29" s="954">
        <v>2550000</v>
      </c>
      <c r="G29" s="954">
        <v>98090000</v>
      </c>
      <c r="H29" s="955">
        <f t="shared" si="0"/>
        <v>-680000</v>
      </c>
    </row>
    <row r="30" spans="1:8" ht="12">
      <c r="A30" s="953" t="s">
        <v>697</v>
      </c>
      <c r="B30" s="954">
        <v>928</v>
      </c>
      <c r="C30" s="954">
        <v>2540000</v>
      </c>
      <c r="D30" s="954">
        <v>49953333</v>
      </c>
      <c r="E30" s="954">
        <v>911</v>
      </c>
      <c r="F30" s="954">
        <v>2540000</v>
      </c>
      <c r="G30" s="954">
        <v>49191333</v>
      </c>
      <c r="H30" s="955">
        <f t="shared" si="0"/>
        <v>-762000</v>
      </c>
    </row>
    <row r="31" spans="1:8" ht="12">
      <c r="A31" s="953" t="s">
        <v>698</v>
      </c>
      <c r="B31" s="954">
        <v>977</v>
      </c>
      <c r="C31" s="954">
        <v>2550000</v>
      </c>
      <c r="D31" s="954">
        <v>129880000</v>
      </c>
      <c r="E31" s="954">
        <v>970</v>
      </c>
      <c r="F31" s="954">
        <v>2550000</v>
      </c>
      <c r="G31" s="954">
        <v>129030000</v>
      </c>
      <c r="H31" s="955">
        <f t="shared" si="0"/>
        <v>-850000</v>
      </c>
    </row>
    <row r="32" spans="1:8" ht="12">
      <c r="A32" s="953" t="s">
        <v>699</v>
      </c>
      <c r="B32" s="954">
        <v>1001</v>
      </c>
      <c r="C32" s="954">
        <v>2540000</v>
      </c>
      <c r="D32" s="954">
        <v>63838667</v>
      </c>
      <c r="E32" s="954">
        <v>989</v>
      </c>
      <c r="F32" s="954">
        <v>2540000</v>
      </c>
      <c r="G32" s="954">
        <v>62992000</v>
      </c>
      <c r="H32" s="955">
        <f t="shared" si="0"/>
        <v>-846667</v>
      </c>
    </row>
    <row r="33" spans="1:8" ht="12">
      <c r="A33" s="953" t="s">
        <v>700</v>
      </c>
      <c r="B33" s="954">
        <v>2</v>
      </c>
      <c r="C33" s="954">
        <v>384000</v>
      </c>
      <c r="D33" s="954">
        <v>512000</v>
      </c>
      <c r="E33" s="954">
        <v>0</v>
      </c>
      <c r="F33" s="954">
        <v>384000</v>
      </c>
      <c r="G33" s="954">
        <v>0</v>
      </c>
      <c r="H33" s="955">
        <f t="shared" si="0"/>
        <v>-512000</v>
      </c>
    </row>
    <row r="34" spans="1:8" ht="12">
      <c r="A34" s="953" t="s">
        <v>701</v>
      </c>
      <c r="B34" s="954">
        <v>3</v>
      </c>
      <c r="C34" s="954">
        <v>382400</v>
      </c>
      <c r="D34" s="954">
        <v>382400</v>
      </c>
      <c r="E34" s="954">
        <v>2</v>
      </c>
      <c r="F34" s="954">
        <v>382400</v>
      </c>
      <c r="G34" s="954">
        <v>254933</v>
      </c>
      <c r="H34" s="955">
        <f t="shared" si="0"/>
        <v>-127467</v>
      </c>
    </row>
    <row r="35" spans="1:8" ht="12">
      <c r="A35" s="953" t="s">
        <v>702</v>
      </c>
      <c r="B35" s="954">
        <v>7</v>
      </c>
      <c r="C35" s="954">
        <v>384000</v>
      </c>
      <c r="D35" s="954">
        <v>1792000</v>
      </c>
      <c r="E35" s="954">
        <v>3</v>
      </c>
      <c r="F35" s="954">
        <v>384000</v>
      </c>
      <c r="G35" s="954">
        <v>768000</v>
      </c>
      <c r="H35" s="955">
        <f t="shared" si="0"/>
        <v>-1024000</v>
      </c>
    </row>
    <row r="36" spans="1:8" ht="12">
      <c r="A36" s="953" t="s">
        <v>703</v>
      </c>
      <c r="B36" s="954">
        <v>5</v>
      </c>
      <c r="C36" s="954">
        <v>382400</v>
      </c>
      <c r="D36" s="954">
        <v>637333</v>
      </c>
      <c r="E36" s="954">
        <v>0</v>
      </c>
      <c r="F36" s="954">
        <v>382400</v>
      </c>
      <c r="G36" s="954">
        <v>0</v>
      </c>
      <c r="H36" s="955">
        <f t="shared" si="0"/>
        <v>-637333</v>
      </c>
    </row>
    <row r="37" spans="1:8" ht="12">
      <c r="A37" s="953" t="s">
        <v>704</v>
      </c>
      <c r="B37" s="954">
        <v>11</v>
      </c>
      <c r="C37" s="954">
        <v>192000</v>
      </c>
      <c r="D37" s="954">
        <v>1408000</v>
      </c>
      <c r="E37" s="954">
        <v>0</v>
      </c>
      <c r="F37" s="954">
        <v>192000</v>
      </c>
      <c r="G37" s="954">
        <v>0</v>
      </c>
      <c r="H37" s="955">
        <f t="shared" si="0"/>
        <v>-1408000</v>
      </c>
    </row>
    <row r="38" spans="1:8" ht="12">
      <c r="A38" s="953" t="s">
        <v>705</v>
      </c>
      <c r="B38" s="954">
        <v>9</v>
      </c>
      <c r="C38" s="954">
        <v>191200</v>
      </c>
      <c r="D38" s="954">
        <v>573600</v>
      </c>
      <c r="E38" s="954">
        <v>0</v>
      </c>
      <c r="F38" s="954">
        <v>191200</v>
      </c>
      <c r="G38" s="954">
        <v>0</v>
      </c>
      <c r="H38" s="955">
        <f t="shared" si="0"/>
        <v>-573600</v>
      </c>
    </row>
    <row r="39" spans="1:8" ht="12">
      <c r="A39" s="953" t="s">
        <v>706</v>
      </c>
      <c r="B39" s="954">
        <v>5</v>
      </c>
      <c r="C39" s="954">
        <v>144000</v>
      </c>
      <c r="D39" s="954">
        <v>480000</v>
      </c>
      <c r="E39" s="954">
        <v>8</v>
      </c>
      <c r="F39" s="954">
        <v>144000</v>
      </c>
      <c r="G39" s="954">
        <v>768000</v>
      </c>
      <c r="H39" s="955">
        <f t="shared" si="0"/>
        <v>288000</v>
      </c>
    </row>
    <row r="40" spans="1:8" ht="12">
      <c r="A40" s="953" t="s">
        <v>707</v>
      </c>
      <c r="B40" s="954">
        <v>4</v>
      </c>
      <c r="C40" s="954">
        <v>143400</v>
      </c>
      <c r="D40" s="954">
        <v>191200</v>
      </c>
      <c r="E40" s="954">
        <v>8</v>
      </c>
      <c r="F40" s="954">
        <v>143400</v>
      </c>
      <c r="G40" s="954">
        <v>382400</v>
      </c>
      <c r="H40" s="955">
        <f t="shared" si="0"/>
        <v>191200</v>
      </c>
    </row>
    <row r="41" spans="1:8" ht="12">
      <c r="A41" s="953" t="s">
        <v>708</v>
      </c>
      <c r="B41" s="954">
        <v>3</v>
      </c>
      <c r="C41" s="954">
        <v>160000</v>
      </c>
      <c r="D41" s="954">
        <f>B41*C41</f>
        <v>480000</v>
      </c>
      <c r="E41" s="954">
        <v>1</v>
      </c>
      <c r="F41" s="954">
        <v>160000</v>
      </c>
      <c r="G41" s="954">
        <v>160000</v>
      </c>
      <c r="H41" s="955">
        <f t="shared" si="0"/>
        <v>-320000</v>
      </c>
    </row>
    <row r="42" spans="1:8" ht="12">
      <c r="A42" s="953" t="s">
        <v>709</v>
      </c>
      <c r="B42" s="954">
        <v>1</v>
      </c>
      <c r="C42" s="954">
        <v>239000</v>
      </c>
      <c r="D42" s="954">
        <v>79667</v>
      </c>
      <c r="E42" s="954">
        <v>3</v>
      </c>
      <c r="F42" s="954">
        <v>239000</v>
      </c>
      <c r="G42" s="954">
        <v>239000</v>
      </c>
      <c r="H42" s="955">
        <f t="shared" si="0"/>
        <v>159333</v>
      </c>
    </row>
    <row r="43" spans="1:8" ht="12">
      <c r="A43" s="953" t="s">
        <v>710</v>
      </c>
      <c r="B43" s="954">
        <v>281</v>
      </c>
      <c r="C43" s="954">
        <v>2550000</v>
      </c>
      <c r="D43" s="954">
        <v>10200000</v>
      </c>
      <c r="E43" s="954">
        <v>281</v>
      </c>
      <c r="F43" s="954">
        <v>2550000</v>
      </c>
      <c r="G43" s="954">
        <v>10200000</v>
      </c>
      <c r="H43" s="955">
        <f t="shared" si="0"/>
        <v>0</v>
      </c>
    </row>
    <row r="44" spans="1:8" ht="12">
      <c r="A44" s="953" t="s">
        <v>711</v>
      </c>
      <c r="B44" s="954">
        <v>280</v>
      </c>
      <c r="C44" s="954">
        <v>2540000</v>
      </c>
      <c r="D44" s="954">
        <v>5080000</v>
      </c>
      <c r="E44" s="954">
        <v>301</v>
      </c>
      <c r="F44" s="954">
        <v>2540000</v>
      </c>
      <c r="G44" s="954">
        <v>5418667</v>
      </c>
      <c r="H44" s="955">
        <f t="shared" si="0"/>
        <v>338667</v>
      </c>
    </row>
    <row r="45" spans="1:8" ht="12">
      <c r="A45" s="953" t="s">
        <v>712</v>
      </c>
      <c r="B45" s="954">
        <v>73</v>
      </c>
      <c r="C45" s="954">
        <v>2550000</v>
      </c>
      <c r="D45" s="954">
        <v>1020000</v>
      </c>
      <c r="E45" s="954">
        <v>73</v>
      </c>
      <c r="F45" s="954">
        <v>2550000</v>
      </c>
      <c r="G45" s="954">
        <v>1020000</v>
      </c>
      <c r="H45" s="955">
        <f t="shared" si="0"/>
        <v>0</v>
      </c>
    </row>
    <row r="46" spans="1:8" ht="12">
      <c r="A46" s="953" t="s">
        <v>713</v>
      </c>
      <c r="B46" s="954">
        <v>70</v>
      </c>
      <c r="C46" s="954">
        <v>2540000</v>
      </c>
      <c r="D46" s="954">
        <v>508000</v>
      </c>
      <c r="E46" s="954">
        <v>63</v>
      </c>
      <c r="F46" s="954">
        <v>2540000</v>
      </c>
      <c r="G46" s="954">
        <v>423333</v>
      </c>
      <c r="H46" s="955">
        <f t="shared" si="0"/>
        <v>-84667</v>
      </c>
    </row>
    <row r="47" spans="1:8" ht="12">
      <c r="A47" s="953" t="s">
        <v>714</v>
      </c>
      <c r="B47" s="954">
        <v>106</v>
      </c>
      <c r="C47" s="954">
        <v>43000</v>
      </c>
      <c r="D47" s="954">
        <v>1519333</v>
      </c>
      <c r="E47" s="954">
        <v>103</v>
      </c>
      <c r="F47" s="954">
        <v>43000</v>
      </c>
      <c r="G47" s="954">
        <v>1476333</v>
      </c>
      <c r="H47" s="955">
        <f t="shared" si="0"/>
        <v>-43000</v>
      </c>
    </row>
    <row r="48" spans="1:8" ht="12">
      <c r="A48" s="953" t="s">
        <v>715</v>
      </c>
      <c r="B48" s="954">
        <v>169</v>
      </c>
      <c r="C48" s="954">
        <v>65000</v>
      </c>
      <c r="D48" s="954">
        <v>10985000</v>
      </c>
      <c r="E48" s="954">
        <v>161</v>
      </c>
      <c r="F48" s="954">
        <v>65000</v>
      </c>
      <c r="G48" s="954">
        <f>E48*F48</f>
        <v>10465000</v>
      </c>
      <c r="H48" s="955">
        <f t="shared" si="0"/>
        <v>-520000</v>
      </c>
    </row>
    <row r="49" spans="1:8" ht="12">
      <c r="A49" s="953" t="s">
        <v>716</v>
      </c>
      <c r="B49" s="954">
        <v>386</v>
      </c>
      <c r="C49" s="954">
        <v>65000</v>
      </c>
      <c r="D49" s="954">
        <f>B49*C49</f>
        <v>25090000</v>
      </c>
      <c r="E49" s="954">
        <v>489</v>
      </c>
      <c r="F49" s="954">
        <v>65000</v>
      </c>
      <c r="G49" s="954">
        <f>E49*F49</f>
        <v>31785000</v>
      </c>
      <c r="H49" s="955">
        <f t="shared" si="0"/>
        <v>6695000</v>
      </c>
    </row>
    <row r="50" spans="1:8" ht="12">
      <c r="A50" s="953" t="s">
        <v>717</v>
      </c>
      <c r="B50" s="954">
        <v>36</v>
      </c>
      <c r="C50" s="954">
        <v>20000</v>
      </c>
      <c r="D50" s="954">
        <v>720000</v>
      </c>
      <c r="E50" s="954">
        <v>46</v>
      </c>
      <c r="F50" s="954">
        <v>20000</v>
      </c>
      <c r="G50" s="954">
        <f>E50*F50</f>
        <v>920000</v>
      </c>
      <c r="H50" s="955">
        <f t="shared" si="0"/>
        <v>200000</v>
      </c>
    </row>
    <row r="51" spans="1:8" ht="12">
      <c r="A51" s="953" t="s">
        <v>718</v>
      </c>
      <c r="B51" s="954">
        <v>704</v>
      </c>
      <c r="C51" s="954">
        <v>2550000</v>
      </c>
      <c r="D51" s="954">
        <v>10880000</v>
      </c>
      <c r="E51" s="954">
        <v>789</v>
      </c>
      <c r="F51" s="954">
        <v>2550000</v>
      </c>
      <c r="G51" s="954">
        <v>12240000</v>
      </c>
      <c r="H51" s="955">
        <f t="shared" si="0"/>
        <v>1360000</v>
      </c>
    </row>
    <row r="52" spans="1:8" ht="12">
      <c r="A52" s="953" t="s">
        <v>719</v>
      </c>
      <c r="B52" s="954">
        <v>733</v>
      </c>
      <c r="C52" s="954">
        <v>2540000</v>
      </c>
      <c r="D52" s="954">
        <v>5588000</v>
      </c>
      <c r="E52" s="954">
        <v>1125</v>
      </c>
      <c r="F52" s="954">
        <v>2540000</v>
      </c>
      <c r="G52" s="954">
        <v>8720667</v>
      </c>
      <c r="H52" s="955">
        <f t="shared" si="0"/>
        <v>3132667</v>
      </c>
    </row>
    <row r="53" spans="1:8" ht="12">
      <c r="A53" s="956" t="s">
        <v>720</v>
      </c>
      <c r="B53" s="954"/>
      <c r="C53" s="954"/>
      <c r="D53" s="954"/>
      <c r="E53" s="954"/>
      <c r="F53" s="954"/>
      <c r="G53" s="954"/>
      <c r="H53" s="955">
        <f t="shared" si="0"/>
        <v>0</v>
      </c>
    </row>
    <row r="54" spans="1:8" ht="12">
      <c r="A54" s="953" t="s">
        <v>721</v>
      </c>
      <c r="B54" s="954">
        <v>281</v>
      </c>
      <c r="C54" s="954">
        <v>51000</v>
      </c>
      <c r="D54" s="954">
        <v>9554000</v>
      </c>
      <c r="E54" s="954">
        <v>281</v>
      </c>
      <c r="F54" s="954">
        <v>51000</v>
      </c>
      <c r="G54" s="954">
        <v>9554000</v>
      </c>
      <c r="H54" s="955">
        <f t="shared" si="0"/>
        <v>0</v>
      </c>
    </row>
    <row r="55" spans="1:8" ht="12">
      <c r="A55" s="953" t="s">
        <v>722</v>
      </c>
      <c r="B55" s="954">
        <v>73</v>
      </c>
      <c r="C55" s="954">
        <v>20000</v>
      </c>
      <c r="D55" s="954">
        <v>973333</v>
      </c>
      <c r="E55" s="954">
        <v>73</v>
      </c>
      <c r="F55" s="954">
        <v>20000</v>
      </c>
      <c r="G55" s="954">
        <v>973333</v>
      </c>
      <c r="H55" s="955">
        <f t="shared" si="0"/>
        <v>0</v>
      </c>
    </row>
    <row r="56" spans="1:8" ht="12">
      <c r="A56" s="953" t="s">
        <v>721</v>
      </c>
      <c r="B56" s="954">
        <v>280</v>
      </c>
      <c r="C56" s="954">
        <v>48500</v>
      </c>
      <c r="D56" s="954">
        <v>4526667</v>
      </c>
      <c r="E56" s="954">
        <v>301</v>
      </c>
      <c r="F56" s="954">
        <v>48500</v>
      </c>
      <c r="G56" s="954">
        <v>4866167</v>
      </c>
      <c r="H56" s="955">
        <f t="shared" si="0"/>
        <v>339500</v>
      </c>
    </row>
    <row r="57" spans="1:8" ht="12">
      <c r="A57" s="953" t="s">
        <v>722</v>
      </c>
      <c r="B57" s="957">
        <v>70</v>
      </c>
      <c r="C57" s="954">
        <v>19000</v>
      </c>
      <c r="D57" s="954">
        <v>443333</v>
      </c>
      <c r="E57" s="954">
        <v>63</v>
      </c>
      <c r="F57" s="954">
        <v>19000</v>
      </c>
      <c r="G57" s="954">
        <v>399000</v>
      </c>
      <c r="H57" s="955">
        <f t="shared" si="0"/>
        <v>-44333</v>
      </c>
    </row>
    <row r="58" spans="1:8" ht="12">
      <c r="A58" s="958" t="s">
        <v>723</v>
      </c>
      <c r="B58" s="957">
        <v>1929</v>
      </c>
      <c r="C58" s="954">
        <v>1000</v>
      </c>
      <c r="D58" s="954">
        <f>B58*C58</f>
        <v>1929000</v>
      </c>
      <c r="E58" s="954">
        <v>1900</v>
      </c>
      <c r="F58" s="954">
        <v>1000</v>
      </c>
      <c r="G58" s="954">
        <v>1900000</v>
      </c>
      <c r="H58" s="955">
        <f t="shared" si="0"/>
        <v>-29000</v>
      </c>
    </row>
    <row r="59" spans="1:8" ht="12">
      <c r="A59" s="953" t="s">
        <v>724</v>
      </c>
      <c r="B59" s="957">
        <v>706</v>
      </c>
      <c r="C59" s="954">
        <v>10000</v>
      </c>
      <c r="D59" s="954">
        <v>7060000</v>
      </c>
      <c r="E59" s="954">
        <v>706</v>
      </c>
      <c r="F59" s="954">
        <v>1000</v>
      </c>
      <c r="G59" s="954">
        <v>7060000</v>
      </c>
      <c r="H59" s="955">
        <f t="shared" si="0"/>
        <v>0</v>
      </c>
    </row>
    <row r="60" spans="1:8" ht="12">
      <c r="A60" s="959" t="s">
        <v>725</v>
      </c>
      <c r="B60" s="960"/>
      <c r="C60" s="960"/>
      <c r="D60" s="960">
        <f>SUM(D5:D59)</f>
        <v>970917149</v>
      </c>
      <c r="E60" s="961"/>
      <c r="F60" s="961"/>
      <c r="G60" s="961">
        <f>SUM(G6:G59)</f>
        <v>974268811</v>
      </c>
      <c r="H60" s="962">
        <f t="shared" si="0"/>
        <v>3351662</v>
      </c>
    </row>
    <row r="61" spans="1:8" ht="12">
      <c r="A61" s="963" t="s">
        <v>726</v>
      </c>
      <c r="B61" s="964">
        <v>236</v>
      </c>
      <c r="C61" s="964">
        <v>11700</v>
      </c>
      <c r="D61" s="964">
        <f>B61*C61</f>
        <v>2761200</v>
      </c>
      <c r="E61" s="965">
        <v>233</v>
      </c>
      <c r="F61" s="965">
        <v>11700</v>
      </c>
      <c r="G61" s="965">
        <v>2730000</v>
      </c>
      <c r="H61" s="955">
        <f t="shared" si="0"/>
        <v>-31200</v>
      </c>
    </row>
    <row r="62" spans="1:8" ht="12">
      <c r="A62" s="953" t="s">
        <v>727</v>
      </c>
      <c r="B62" s="966">
        <v>5.333</v>
      </c>
      <c r="C62" s="966">
        <v>970000</v>
      </c>
      <c r="D62" s="966">
        <v>5173333</v>
      </c>
      <c r="E62" s="954">
        <v>5</v>
      </c>
      <c r="F62" s="954">
        <v>970000</v>
      </c>
      <c r="G62" s="954">
        <v>5173333</v>
      </c>
      <c r="H62" s="955">
        <f t="shared" si="0"/>
        <v>0</v>
      </c>
    </row>
    <row r="63" spans="1:8" ht="12">
      <c r="A63" s="953" t="s">
        <v>728</v>
      </c>
      <c r="B63" s="966">
        <v>1866</v>
      </c>
      <c r="C63" s="966">
        <v>430</v>
      </c>
      <c r="D63" s="966">
        <v>802237</v>
      </c>
      <c r="E63" s="954">
        <v>1856</v>
      </c>
      <c r="F63" s="954">
        <v>430</v>
      </c>
      <c r="G63" s="954">
        <v>798080</v>
      </c>
      <c r="H63" s="955">
        <f>G63-D63</f>
        <v>-4157</v>
      </c>
    </row>
    <row r="64" spans="1:8" ht="12">
      <c r="A64" s="958" t="s">
        <v>729</v>
      </c>
      <c r="B64" s="954">
        <v>31</v>
      </c>
      <c r="C64" s="954">
        <v>9400</v>
      </c>
      <c r="D64" s="954">
        <v>291400</v>
      </c>
      <c r="E64" s="954">
        <v>23</v>
      </c>
      <c r="F64" s="954">
        <v>9400</v>
      </c>
      <c r="G64" s="954">
        <v>216200</v>
      </c>
      <c r="H64" s="955">
        <f t="shared" si="0"/>
        <v>-75200</v>
      </c>
    </row>
    <row r="65" spans="1:8" s="967" customFormat="1" ht="12">
      <c r="A65" s="959" t="s">
        <v>730</v>
      </c>
      <c r="B65" s="961"/>
      <c r="C65" s="961"/>
      <c r="D65" s="961">
        <f>SUM(D61:D64)</f>
        <v>9028170</v>
      </c>
      <c r="E65" s="961"/>
      <c r="F65" s="961"/>
      <c r="G65" s="961">
        <f>SUM(G61:G64)</f>
        <v>8917613</v>
      </c>
      <c r="H65" s="962">
        <f t="shared" si="0"/>
        <v>-110557</v>
      </c>
    </row>
    <row r="66" spans="1:8" s="967" customFormat="1" ht="12">
      <c r="A66" s="959" t="s">
        <v>731</v>
      </c>
      <c r="B66" s="961"/>
      <c r="C66" s="961"/>
      <c r="D66" s="961">
        <f>D60+D65</f>
        <v>979945319</v>
      </c>
      <c r="E66" s="961"/>
      <c r="F66" s="961"/>
      <c r="G66" s="961">
        <f>G60+G65</f>
        <v>983186424</v>
      </c>
      <c r="H66" s="962">
        <f t="shared" si="0"/>
        <v>3241105</v>
      </c>
    </row>
    <row r="67" spans="1:8" s="968" customFormat="1" ht="12">
      <c r="A67" s="959" t="s">
        <v>732</v>
      </c>
      <c r="B67" s="961"/>
      <c r="C67" s="961"/>
      <c r="D67" s="961">
        <v>426553280</v>
      </c>
      <c r="E67" s="961"/>
      <c r="F67" s="961"/>
      <c r="G67" s="961">
        <v>426553280</v>
      </c>
      <c r="H67" s="962">
        <f t="shared" si="0"/>
        <v>0</v>
      </c>
    </row>
    <row r="68" spans="1:8" s="17" customFormat="1" ht="12.75" thickBot="1">
      <c r="A68" s="969" t="s">
        <v>733</v>
      </c>
      <c r="B68" s="970"/>
      <c r="C68" s="970"/>
      <c r="D68" s="970">
        <f>D66+D67</f>
        <v>1406498599</v>
      </c>
      <c r="E68" s="970"/>
      <c r="F68" s="970"/>
      <c r="G68" s="970">
        <v>1409739704</v>
      </c>
      <c r="H68" s="971">
        <f t="shared" si="0"/>
        <v>3241105</v>
      </c>
    </row>
    <row r="69" spans="2:8" s="17" customFormat="1" ht="12.75" thickTop="1">
      <c r="B69" s="972"/>
      <c r="C69" s="972"/>
      <c r="D69" s="972"/>
      <c r="E69" s="972"/>
      <c r="F69" s="972"/>
      <c r="G69" s="972"/>
      <c r="H69" s="973"/>
    </row>
    <row r="70" ht="12">
      <c r="H70" s="17"/>
    </row>
  </sheetData>
  <mergeCells count="4">
    <mergeCell ref="A2:H2"/>
    <mergeCell ref="B4:D4"/>
    <mergeCell ref="E4:G4"/>
    <mergeCell ref="H4:H5"/>
  </mergeCells>
  <printOptions horizontalCentered="1"/>
  <pageMargins left="0.69" right="0.8661417322834646" top="0.27" bottom="0.22" header="0.17" footer="0.17"/>
  <pageSetup horizontalDpi="600" verticalDpi="600" orientation="landscape" paperSize="9" scale="70" r:id="rId1"/>
  <headerFooter alignWithMargins="0">
    <oddHeader>&amp;L16.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workbookViewId="0" topLeftCell="A28">
      <selection activeCell="D46" sqref="D46"/>
    </sheetView>
  </sheetViews>
  <sheetFormatPr defaultColWidth="9.00390625" defaultRowHeight="12.75"/>
  <cols>
    <col min="1" max="1" width="48.75390625" style="14" customWidth="1"/>
    <col min="2" max="2" width="11.75390625" style="14" customWidth="1"/>
    <col min="3" max="4" width="14.00390625" style="14" customWidth="1"/>
    <col min="5" max="5" width="50.25390625" style="14" customWidth="1"/>
    <col min="6" max="6" width="11.75390625" style="14" customWidth="1"/>
    <col min="7" max="8" width="14.00390625" style="14" customWidth="1"/>
    <col min="9" max="16384" width="9.125" style="14" customWidth="1"/>
  </cols>
  <sheetData>
    <row r="1" spans="1:5" ht="12.75">
      <c r="A1" s="11" t="s">
        <v>1321</v>
      </c>
      <c r="B1" s="12"/>
      <c r="C1" s="12"/>
      <c r="D1" s="12"/>
      <c r="E1" s="13"/>
    </row>
    <row r="2" ht="12" customHeight="1"/>
    <row r="3" spans="1:8" s="28" customFormat="1" ht="15">
      <c r="A3" s="1064" t="s">
        <v>65</v>
      </c>
      <c r="B3" s="1065"/>
      <c r="C3" s="1065"/>
      <c r="D3" s="1065"/>
      <c r="E3" s="1065"/>
      <c r="F3" s="1066"/>
      <c r="G3" s="1066"/>
      <c r="H3" s="1066"/>
    </row>
    <row r="4" spans="1:5" ht="15.75" thickBot="1">
      <c r="A4" s="51"/>
      <c r="B4" s="51"/>
      <c r="C4" s="51"/>
      <c r="D4" s="51"/>
      <c r="E4" s="51"/>
    </row>
    <row r="5" spans="1:8" ht="14.25">
      <c r="A5" s="1050" t="s">
        <v>1298</v>
      </c>
      <c r="B5" s="1054"/>
      <c r="C5" s="1055"/>
      <c r="D5" s="1056"/>
      <c r="E5" s="1050" t="s">
        <v>1299</v>
      </c>
      <c r="F5" s="1051"/>
      <c r="G5" s="1052"/>
      <c r="H5" s="1053"/>
    </row>
    <row r="6" spans="1:8" ht="15" thickBot="1">
      <c r="A6" s="137"/>
      <c r="B6" s="137" t="s">
        <v>512</v>
      </c>
      <c r="C6" s="137" t="s">
        <v>903</v>
      </c>
      <c r="D6" s="137" t="s">
        <v>386</v>
      </c>
      <c r="E6" s="138"/>
      <c r="F6" s="137" t="s">
        <v>512</v>
      </c>
      <c r="G6" s="137" t="s">
        <v>903</v>
      </c>
      <c r="H6" s="137" t="s">
        <v>386</v>
      </c>
    </row>
    <row r="7" spans="1:8" ht="15">
      <c r="A7" s="139" t="s">
        <v>1322</v>
      </c>
      <c r="B7" s="140">
        <v>168818</v>
      </c>
      <c r="C7" s="140">
        <v>239955</v>
      </c>
      <c r="D7" s="140">
        <v>278636</v>
      </c>
      <c r="E7" s="141" t="s">
        <v>1323</v>
      </c>
      <c r="F7" s="142">
        <v>1727161</v>
      </c>
      <c r="G7" s="142">
        <v>1857728</v>
      </c>
      <c r="H7" s="142">
        <v>1822701</v>
      </c>
    </row>
    <row r="8" spans="1:8" ht="15">
      <c r="A8" s="143" t="s">
        <v>1023</v>
      </c>
      <c r="B8" s="140">
        <v>1839422</v>
      </c>
      <c r="C8" s="140">
        <v>1813040</v>
      </c>
      <c r="D8" s="140">
        <v>1831692</v>
      </c>
      <c r="E8" s="144" t="s">
        <v>1324</v>
      </c>
      <c r="F8" s="145">
        <v>545537</v>
      </c>
      <c r="G8" s="145">
        <v>557735</v>
      </c>
      <c r="H8" s="145">
        <v>542102</v>
      </c>
    </row>
    <row r="9" spans="1:8" ht="15">
      <c r="A9" s="143" t="s">
        <v>1317</v>
      </c>
      <c r="B9" s="140">
        <v>1009304</v>
      </c>
      <c r="C9" s="140">
        <v>979945</v>
      </c>
      <c r="D9" s="140">
        <v>979945</v>
      </c>
      <c r="E9" s="146" t="s">
        <v>518</v>
      </c>
      <c r="F9" s="145">
        <v>1294309</v>
      </c>
      <c r="G9" s="471">
        <v>1468192</v>
      </c>
      <c r="H9" s="471">
        <v>1410852</v>
      </c>
    </row>
    <row r="10" spans="1:8" ht="15">
      <c r="A10" s="143" t="s">
        <v>1081</v>
      </c>
      <c r="B10" s="140">
        <v>796639</v>
      </c>
      <c r="C10" s="140">
        <v>750982</v>
      </c>
      <c r="D10" s="140">
        <v>750982</v>
      </c>
      <c r="E10" s="144" t="s">
        <v>1325</v>
      </c>
      <c r="F10" s="145">
        <v>218870</v>
      </c>
      <c r="G10" s="145">
        <v>299233</v>
      </c>
      <c r="H10" s="145">
        <v>287926</v>
      </c>
    </row>
    <row r="11" spans="1:8" ht="15">
      <c r="A11" s="143" t="s">
        <v>500</v>
      </c>
      <c r="B11" s="140">
        <v>106900</v>
      </c>
      <c r="C11" s="140">
        <v>156966</v>
      </c>
      <c r="D11" s="140">
        <v>143514</v>
      </c>
      <c r="E11" s="144" t="s">
        <v>1326</v>
      </c>
      <c r="F11" s="145">
        <v>159000</v>
      </c>
      <c r="G11" s="145">
        <v>151671</v>
      </c>
      <c r="H11" s="145">
        <v>146032</v>
      </c>
    </row>
    <row r="12" spans="1:8" ht="15">
      <c r="A12" s="147" t="s">
        <v>536</v>
      </c>
      <c r="B12" s="140">
        <v>1713</v>
      </c>
      <c r="C12" s="140">
        <v>2487</v>
      </c>
      <c r="D12" s="140">
        <v>2487</v>
      </c>
      <c r="E12" s="143" t="s">
        <v>1327</v>
      </c>
      <c r="F12" s="145">
        <v>8883</v>
      </c>
      <c r="G12" s="145">
        <v>8529</v>
      </c>
      <c r="H12" s="145">
        <v>8529</v>
      </c>
    </row>
    <row r="13" spans="1:8" ht="15">
      <c r="A13" s="147" t="s">
        <v>196</v>
      </c>
      <c r="B13" s="148">
        <v>87870</v>
      </c>
      <c r="C13" s="148">
        <v>111054</v>
      </c>
      <c r="D13" s="148">
        <v>111054</v>
      </c>
      <c r="E13" s="143" t="s">
        <v>1008</v>
      </c>
      <c r="F13" s="145">
        <v>8000</v>
      </c>
      <c r="G13" s="145">
        <v>20000</v>
      </c>
      <c r="H13" s="145"/>
    </row>
    <row r="14" spans="1:8" ht="15">
      <c r="A14" s="143" t="s">
        <v>356</v>
      </c>
      <c r="B14" s="145">
        <v>41000</v>
      </c>
      <c r="C14" s="145">
        <v>41000</v>
      </c>
      <c r="D14" s="145">
        <v>41000</v>
      </c>
      <c r="E14" s="149" t="s">
        <v>206</v>
      </c>
      <c r="F14" s="145"/>
      <c r="G14" s="145"/>
      <c r="H14" s="145"/>
    </row>
    <row r="15" spans="1:8" ht="15">
      <c r="A15" s="150" t="s">
        <v>501</v>
      </c>
      <c r="B15" s="151">
        <v>53450</v>
      </c>
      <c r="C15" s="151">
        <v>122676</v>
      </c>
      <c r="D15" s="151">
        <v>134041</v>
      </c>
      <c r="E15" s="149" t="s">
        <v>983</v>
      </c>
      <c r="F15" s="145">
        <v>38556</v>
      </c>
      <c r="G15" s="145"/>
      <c r="H15" s="145"/>
    </row>
    <row r="16" spans="1:8" ht="15">
      <c r="A16" s="153" t="s">
        <v>513</v>
      </c>
      <c r="B16" s="145"/>
      <c r="C16" s="151"/>
      <c r="D16" s="151"/>
      <c r="E16" s="152" t="s">
        <v>979</v>
      </c>
      <c r="F16" s="151">
        <v>100000</v>
      </c>
      <c r="G16" s="145">
        <v>35743</v>
      </c>
      <c r="H16" s="145"/>
    </row>
    <row r="17" spans="1:8" ht="15">
      <c r="A17" s="143" t="s">
        <v>514</v>
      </c>
      <c r="B17" s="145"/>
      <c r="C17" s="145">
        <v>86506</v>
      </c>
      <c r="D17" s="145">
        <v>86506</v>
      </c>
      <c r="E17" s="154" t="s">
        <v>980</v>
      </c>
      <c r="F17" s="145">
        <v>4800</v>
      </c>
      <c r="G17" s="145"/>
      <c r="H17" s="145"/>
    </row>
    <row r="18" spans="1:8" ht="15">
      <c r="A18" s="143" t="s">
        <v>1016</v>
      </c>
      <c r="B18" s="145"/>
      <c r="C18" s="145"/>
      <c r="D18" s="145"/>
      <c r="E18" s="149" t="s">
        <v>15</v>
      </c>
      <c r="F18" s="145"/>
      <c r="G18" s="145"/>
      <c r="H18" s="145"/>
    </row>
    <row r="19" spans="1:8" ht="15">
      <c r="A19" s="143" t="s">
        <v>1075</v>
      </c>
      <c r="B19" s="145"/>
      <c r="C19" s="145"/>
      <c r="D19" s="145">
        <v>3659</v>
      </c>
      <c r="E19" s="149" t="s">
        <v>16</v>
      </c>
      <c r="F19" s="145"/>
      <c r="G19" s="145">
        <v>2000</v>
      </c>
      <c r="H19" s="145">
        <v>2000</v>
      </c>
    </row>
    <row r="20" spans="1:8" ht="15">
      <c r="A20" s="143" t="s">
        <v>1071</v>
      </c>
      <c r="B20" s="145"/>
      <c r="C20" s="145"/>
      <c r="D20" s="145">
        <v>-92795</v>
      </c>
      <c r="E20" s="149" t="s">
        <v>17</v>
      </c>
      <c r="F20" s="145"/>
      <c r="G20" s="145">
        <v>5000</v>
      </c>
      <c r="H20" s="145">
        <v>5000</v>
      </c>
    </row>
    <row r="21" spans="1:256" ht="15">
      <c r="A21" s="143" t="s">
        <v>1072</v>
      </c>
      <c r="B21" s="145"/>
      <c r="C21" s="145"/>
      <c r="D21" s="145">
        <v>10449</v>
      </c>
      <c r="E21" s="372" t="s">
        <v>431</v>
      </c>
      <c r="F21" s="145"/>
      <c r="G21" s="143">
        <v>780</v>
      </c>
      <c r="H21" s="143"/>
      <c r="IU21" s="29"/>
      <c r="IV21" s="29"/>
    </row>
    <row r="22" spans="1:256" ht="15">
      <c r="A22" s="143" t="s">
        <v>18</v>
      </c>
      <c r="B22" s="145"/>
      <c r="C22" s="145"/>
      <c r="D22" s="145"/>
      <c r="E22" s="149" t="s">
        <v>1071</v>
      </c>
      <c r="F22" s="145"/>
      <c r="G22" s="145"/>
      <c r="H22" s="145">
        <v>121520</v>
      </c>
      <c r="IU22" s="29"/>
      <c r="IV22" s="29"/>
    </row>
    <row r="23" spans="1:256" ht="15">
      <c r="A23" s="143" t="s">
        <v>19</v>
      </c>
      <c r="B23" s="145"/>
      <c r="C23" s="145">
        <v>2000</v>
      </c>
      <c r="D23" s="145">
        <v>2000</v>
      </c>
      <c r="E23" s="149" t="s">
        <v>34</v>
      </c>
      <c r="F23" s="145"/>
      <c r="G23" s="145"/>
      <c r="H23" s="145">
        <v>10449</v>
      </c>
      <c r="IU23" s="29"/>
      <c r="IV23" s="29"/>
    </row>
    <row r="24" spans="1:256" ht="15">
      <c r="A24" s="143" t="s">
        <v>17</v>
      </c>
      <c r="B24" s="145"/>
      <c r="C24" s="145"/>
      <c r="D24" s="145"/>
      <c r="E24" s="149"/>
      <c r="F24" s="145"/>
      <c r="G24" s="145"/>
      <c r="H24" s="145"/>
      <c r="IU24" s="29"/>
      <c r="IV24" s="29"/>
    </row>
    <row r="25" spans="1:256" ht="15">
      <c r="A25" s="143" t="s">
        <v>430</v>
      </c>
      <c r="B25" s="145"/>
      <c r="C25" s="145"/>
      <c r="D25" s="145"/>
      <c r="E25" s="149"/>
      <c r="F25" s="145"/>
      <c r="G25" s="145"/>
      <c r="H25" s="145"/>
      <c r="IU25" s="29"/>
      <c r="IV25" s="29"/>
    </row>
    <row r="26" spans="1:256" ht="15.75" thickBot="1">
      <c r="A26" s="155" t="s">
        <v>1099</v>
      </c>
      <c r="B26" s="156"/>
      <c r="C26" s="156">
        <v>100000</v>
      </c>
      <c r="D26" s="156">
        <v>43748</v>
      </c>
      <c r="E26" s="157"/>
      <c r="F26" s="156"/>
      <c r="G26" s="263"/>
      <c r="H26" s="263"/>
      <c r="IU26" s="29"/>
      <c r="IV26" s="29"/>
    </row>
    <row r="27" spans="1:256" s="30" customFormat="1" ht="15" thickBot="1">
      <c r="A27" s="158" t="s">
        <v>1328</v>
      </c>
      <c r="B27" s="159">
        <f>SUM(B7:B26)</f>
        <v>4105116</v>
      </c>
      <c r="C27" s="159">
        <f>SUM(C7:C26)</f>
        <v>4406611</v>
      </c>
      <c r="D27" s="159">
        <f>SUM(D7:D26)</f>
        <v>4326918</v>
      </c>
      <c r="E27" s="158" t="s">
        <v>1328</v>
      </c>
      <c r="F27" s="159">
        <f>SUM(F7:F24)</f>
        <v>4105116</v>
      </c>
      <c r="G27" s="159">
        <f>SUM(G7:G26)</f>
        <v>4406611</v>
      </c>
      <c r="H27" s="159">
        <f>SUM(H7:H26)</f>
        <v>4357111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</row>
    <row r="28" spans="1:6" s="29" customFormat="1" ht="15">
      <c r="A28" s="52"/>
      <c r="B28" s="52"/>
      <c r="C28" s="52"/>
      <c r="D28" s="52"/>
      <c r="E28" s="52"/>
      <c r="F28" s="160"/>
    </row>
    <row r="29" spans="1:6" ht="15">
      <c r="A29" s="53" t="s">
        <v>1329</v>
      </c>
      <c r="B29" s="54"/>
      <c r="C29" s="54"/>
      <c r="D29" s="54"/>
      <c r="E29" s="51"/>
      <c r="F29" s="51"/>
    </row>
    <row r="30" spans="1:5" ht="13.5" customHeight="1">
      <c r="A30" s="51"/>
      <c r="B30" s="51"/>
      <c r="C30" s="51"/>
      <c r="D30" s="51"/>
      <c r="E30" s="55"/>
    </row>
    <row r="31" spans="1:8" s="28" customFormat="1" ht="15">
      <c r="A31" s="1064" t="s">
        <v>66</v>
      </c>
      <c r="B31" s="1065"/>
      <c r="C31" s="1065"/>
      <c r="D31" s="1065"/>
      <c r="E31" s="1065"/>
      <c r="F31" s="1066"/>
      <c r="G31" s="1066"/>
      <c r="H31" s="1066"/>
    </row>
    <row r="32" spans="1:5" ht="14.25" customHeight="1" thickBot="1">
      <c r="A32" s="51"/>
      <c r="B32" s="51"/>
      <c r="C32" s="51"/>
      <c r="D32" s="51"/>
      <c r="E32" s="50"/>
    </row>
    <row r="33" spans="1:8" s="28" customFormat="1" ht="14.25">
      <c r="A33" s="1050" t="s">
        <v>1298</v>
      </c>
      <c r="B33" s="1054"/>
      <c r="C33" s="1055"/>
      <c r="D33" s="1056"/>
      <c r="E33" s="1050" t="s">
        <v>1299</v>
      </c>
      <c r="F33" s="1051"/>
      <c r="G33" s="1052"/>
      <c r="H33" s="1053"/>
    </row>
    <row r="34" spans="1:8" s="28" customFormat="1" ht="15" thickBot="1">
      <c r="A34" s="161"/>
      <c r="B34" s="138" t="s">
        <v>512</v>
      </c>
      <c r="C34" s="137" t="s">
        <v>903</v>
      </c>
      <c r="D34" s="137" t="s">
        <v>386</v>
      </c>
      <c r="E34" s="162"/>
      <c r="F34" s="137" t="s">
        <v>516</v>
      </c>
      <c r="G34" s="137" t="s">
        <v>903</v>
      </c>
      <c r="H34" s="137" t="s">
        <v>386</v>
      </c>
    </row>
    <row r="35" spans="1:8" s="28" customFormat="1" ht="15">
      <c r="A35" s="163" t="s">
        <v>197</v>
      </c>
      <c r="B35" s="164">
        <v>143500</v>
      </c>
      <c r="C35" s="164">
        <v>177822</v>
      </c>
      <c r="D35" s="164">
        <v>179565</v>
      </c>
      <c r="E35" s="143" t="s">
        <v>1311</v>
      </c>
      <c r="F35" s="142">
        <v>1090889</v>
      </c>
      <c r="G35" s="145">
        <v>1825234</v>
      </c>
      <c r="H35" s="145">
        <v>587111</v>
      </c>
    </row>
    <row r="36" spans="1:8" ht="15">
      <c r="A36" s="144" t="s">
        <v>1017</v>
      </c>
      <c r="B36" s="142">
        <v>6000</v>
      </c>
      <c r="C36" s="142">
        <v>6000</v>
      </c>
      <c r="D36" s="142">
        <v>3777</v>
      </c>
      <c r="E36" s="144" t="s">
        <v>1330</v>
      </c>
      <c r="F36" s="145">
        <v>224756</v>
      </c>
      <c r="G36" s="145">
        <v>452459</v>
      </c>
      <c r="H36" s="145">
        <v>207041</v>
      </c>
    </row>
    <row r="37" spans="1:8" ht="15">
      <c r="A37" s="144" t="s">
        <v>1312</v>
      </c>
      <c r="B37" s="142">
        <v>286000</v>
      </c>
      <c r="C37" s="142">
        <v>286000</v>
      </c>
      <c r="D37" s="142">
        <v>184895</v>
      </c>
      <c r="E37" s="144" t="s">
        <v>503</v>
      </c>
      <c r="F37" s="145">
        <v>17973</v>
      </c>
      <c r="G37" s="145">
        <v>14612</v>
      </c>
      <c r="H37" s="145">
        <v>14299</v>
      </c>
    </row>
    <row r="38" spans="1:8" ht="15">
      <c r="A38" s="144" t="s">
        <v>234</v>
      </c>
      <c r="B38" s="142">
        <v>8000</v>
      </c>
      <c r="C38" s="142"/>
      <c r="D38" s="142"/>
      <c r="E38" s="141" t="s">
        <v>1331</v>
      </c>
      <c r="F38" s="145">
        <v>197103</v>
      </c>
      <c r="G38" s="145">
        <v>694792</v>
      </c>
      <c r="H38" s="145">
        <v>565306</v>
      </c>
    </row>
    <row r="39" spans="1:8" ht="15">
      <c r="A39" s="143" t="s">
        <v>517</v>
      </c>
      <c r="B39" s="145">
        <v>111426</v>
      </c>
      <c r="C39" s="145">
        <v>92168</v>
      </c>
      <c r="D39" s="145">
        <v>75369</v>
      </c>
      <c r="E39" s="150" t="s">
        <v>1332</v>
      </c>
      <c r="F39" s="145">
        <v>4101</v>
      </c>
      <c r="G39" s="145">
        <v>1933</v>
      </c>
      <c r="H39" s="145">
        <v>1635</v>
      </c>
    </row>
    <row r="40" spans="1:8" ht="15">
      <c r="A40" s="144" t="s">
        <v>266</v>
      </c>
      <c r="B40" s="142">
        <v>11720</v>
      </c>
      <c r="C40" s="142">
        <v>20820</v>
      </c>
      <c r="D40" s="142">
        <v>19334</v>
      </c>
      <c r="E40" s="143" t="s">
        <v>1069</v>
      </c>
      <c r="F40" s="145">
        <v>8500</v>
      </c>
      <c r="G40" s="145">
        <v>8500</v>
      </c>
      <c r="H40" s="145">
        <v>3650</v>
      </c>
    </row>
    <row r="41" spans="1:8" ht="15">
      <c r="A41" s="143" t="s">
        <v>198</v>
      </c>
      <c r="B41" s="145">
        <v>17601</v>
      </c>
      <c r="C41" s="145">
        <v>17367</v>
      </c>
      <c r="D41" s="145">
        <v>17367</v>
      </c>
      <c r="E41" s="143" t="s">
        <v>200</v>
      </c>
      <c r="F41" s="145"/>
      <c r="G41" s="145"/>
      <c r="H41" s="145"/>
    </row>
    <row r="42" spans="1:8" ht="15">
      <c r="A42" s="143" t="s">
        <v>502</v>
      </c>
      <c r="B42" s="145">
        <v>20000</v>
      </c>
      <c r="C42" s="145">
        <v>320593</v>
      </c>
      <c r="D42" s="145">
        <v>301344</v>
      </c>
      <c r="E42" s="143" t="s">
        <v>201</v>
      </c>
      <c r="F42" s="145">
        <v>1200000</v>
      </c>
      <c r="G42" s="145">
        <v>635061</v>
      </c>
      <c r="H42" s="145"/>
    </row>
    <row r="43" spans="1:8" ht="15">
      <c r="A43" s="143" t="s">
        <v>1333</v>
      </c>
      <c r="B43" s="165">
        <v>11000</v>
      </c>
      <c r="C43" s="165">
        <v>11000</v>
      </c>
      <c r="D43" s="165">
        <v>9034</v>
      </c>
      <c r="E43" s="143" t="s">
        <v>984</v>
      </c>
      <c r="F43" s="145">
        <v>50000</v>
      </c>
      <c r="G43" s="145">
        <v>111</v>
      </c>
      <c r="H43" s="145"/>
    </row>
    <row r="44" spans="1:8" ht="15">
      <c r="A44" s="143" t="s">
        <v>202</v>
      </c>
      <c r="B44" s="165">
        <v>43631</v>
      </c>
      <c r="C44" s="165">
        <v>5631</v>
      </c>
      <c r="D44" s="165">
        <v>5631</v>
      </c>
      <c r="E44" s="143" t="s">
        <v>1084</v>
      </c>
      <c r="F44" s="145">
        <v>69575</v>
      </c>
      <c r="G44" s="145">
        <v>27275</v>
      </c>
      <c r="H44" s="145"/>
    </row>
    <row r="45" spans="1:8" ht="15">
      <c r="A45" s="143" t="s">
        <v>1100</v>
      </c>
      <c r="B45" s="165">
        <v>140000</v>
      </c>
      <c r="C45" s="165">
        <v>200000</v>
      </c>
      <c r="D45" s="165">
        <v>208022</v>
      </c>
      <c r="E45" s="143" t="s">
        <v>994</v>
      </c>
      <c r="F45" s="145">
        <v>53601</v>
      </c>
      <c r="G45" s="145">
        <v>53601</v>
      </c>
      <c r="H45" s="145">
        <v>27857</v>
      </c>
    </row>
    <row r="46" spans="1:8" ht="15">
      <c r="A46" s="143" t="s">
        <v>199</v>
      </c>
      <c r="B46" s="165">
        <v>2200000</v>
      </c>
      <c r="C46" s="165">
        <v>2200000</v>
      </c>
      <c r="D46" s="165">
        <v>2263971</v>
      </c>
      <c r="E46" s="143" t="s">
        <v>519</v>
      </c>
      <c r="F46" s="145">
        <v>128930</v>
      </c>
      <c r="G46" s="145">
        <v>85924</v>
      </c>
      <c r="H46" s="145">
        <v>70218</v>
      </c>
    </row>
    <row r="47" spans="1:8" ht="15">
      <c r="A47" s="143" t="s">
        <v>501</v>
      </c>
      <c r="B47" s="165">
        <v>46550</v>
      </c>
      <c r="C47" s="165">
        <v>47825</v>
      </c>
      <c r="D47" s="165">
        <v>47825</v>
      </c>
      <c r="E47" s="143" t="s">
        <v>782</v>
      </c>
      <c r="F47" s="145"/>
      <c r="G47" s="145">
        <v>6731</v>
      </c>
      <c r="H47" s="145">
        <v>3830</v>
      </c>
    </row>
    <row r="48" spans="1:8" ht="15">
      <c r="A48" s="425" t="s">
        <v>47</v>
      </c>
      <c r="B48" s="145"/>
      <c r="C48" s="145">
        <v>1614</v>
      </c>
      <c r="D48" s="145">
        <v>1614</v>
      </c>
      <c r="E48" s="427" t="s">
        <v>432</v>
      </c>
      <c r="F48" s="145"/>
      <c r="G48" s="151">
        <v>25000</v>
      </c>
      <c r="H48" s="151">
        <v>2834</v>
      </c>
    </row>
    <row r="49" spans="1:8" ht="15">
      <c r="A49" s="426" t="s">
        <v>49</v>
      </c>
      <c r="B49" s="145"/>
      <c r="C49" s="145">
        <v>587</v>
      </c>
      <c r="D49" s="145">
        <v>587</v>
      </c>
      <c r="E49" s="427" t="s">
        <v>793</v>
      </c>
      <c r="F49" s="145"/>
      <c r="G49" s="145">
        <v>43006</v>
      </c>
      <c r="H49" s="145">
        <v>43006</v>
      </c>
    </row>
    <row r="50" spans="1:8" ht="15">
      <c r="A50" s="426" t="s">
        <v>1044</v>
      </c>
      <c r="B50" s="145"/>
      <c r="C50" s="145">
        <v>2087</v>
      </c>
      <c r="D50" s="145">
        <v>2087</v>
      </c>
      <c r="E50" s="423"/>
      <c r="F50" s="145"/>
      <c r="G50" s="145"/>
      <c r="H50" s="145"/>
    </row>
    <row r="51" spans="1:8" ht="15">
      <c r="A51" s="147" t="s">
        <v>1102</v>
      </c>
      <c r="B51" s="151"/>
      <c r="C51" s="151">
        <v>473374</v>
      </c>
      <c r="D51" s="151">
        <v>473374</v>
      </c>
      <c r="E51" s="429"/>
      <c r="F51" s="145"/>
      <c r="G51" s="145"/>
      <c r="H51" s="145"/>
    </row>
    <row r="52" spans="1:8" ht="15.75" thickBot="1">
      <c r="A52" s="424" t="s">
        <v>1101</v>
      </c>
      <c r="B52" s="428"/>
      <c r="C52" s="428">
        <v>11351</v>
      </c>
      <c r="D52" s="428">
        <v>11351</v>
      </c>
      <c r="E52" s="430"/>
      <c r="F52" s="263"/>
      <c r="G52" s="263"/>
      <c r="H52" s="263"/>
    </row>
    <row r="53" spans="1:8" ht="15" thickBot="1">
      <c r="A53" s="158" t="s">
        <v>1328</v>
      </c>
      <c r="B53" s="159">
        <f>SUM(B35:B52)</f>
        <v>3045428</v>
      </c>
      <c r="C53" s="159">
        <f>SUM(C35:C52)</f>
        <v>3874239</v>
      </c>
      <c r="D53" s="159">
        <f>SUM(D35:D52)</f>
        <v>3805147</v>
      </c>
      <c r="E53" s="158" t="s">
        <v>1328</v>
      </c>
      <c r="F53" s="159">
        <f>SUM(F35:F49)</f>
        <v>3045428</v>
      </c>
      <c r="G53" s="159">
        <f>SUM(G35:G49)</f>
        <v>3874239</v>
      </c>
      <c r="H53" s="159">
        <f>SUM(H35:H49)</f>
        <v>1526787</v>
      </c>
    </row>
    <row r="54" spans="1:5" ht="12.75">
      <c r="A54" s="28"/>
      <c r="B54" s="31"/>
      <c r="C54" s="31"/>
      <c r="D54" s="31"/>
      <c r="E54" s="31"/>
    </row>
    <row r="55" spans="1:5" ht="12.75">
      <c r="A55" s="13"/>
      <c r="B55" s="16"/>
      <c r="C55" s="16"/>
      <c r="D55" s="16"/>
      <c r="E55" s="15"/>
    </row>
    <row r="56" spans="2:4" ht="12.75">
      <c r="B56" s="13"/>
      <c r="C56" s="13"/>
      <c r="D56" s="13"/>
    </row>
  </sheetData>
  <mergeCells count="6">
    <mergeCell ref="A3:H3"/>
    <mergeCell ref="E33:H33"/>
    <mergeCell ref="A33:D33"/>
    <mergeCell ref="E5:H5"/>
    <mergeCell ref="A5:D5"/>
    <mergeCell ref="A31:H31"/>
  </mergeCells>
  <printOptions horizontalCentered="1"/>
  <pageMargins left="0.17" right="0.15748031496062992" top="0.25" bottom="0.24" header="0.17" footer="0.17"/>
  <pageSetup horizontalDpi="300" verticalDpi="3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55"/>
  <sheetViews>
    <sheetView workbookViewId="0" topLeftCell="A29">
      <selection activeCell="E54" sqref="E54"/>
    </sheetView>
  </sheetViews>
  <sheetFormatPr defaultColWidth="9.00390625" defaultRowHeight="12.75"/>
  <cols>
    <col min="1" max="1" width="65.125" style="4" customWidth="1"/>
    <col min="2" max="2" width="11.875" style="9" customWidth="1"/>
    <col min="3" max="16384" width="9.125" style="4" customWidth="1"/>
  </cols>
  <sheetData>
    <row r="1" spans="1:2" ht="15.75">
      <c r="A1" s="1180" t="s">
        <v>85</v>
      </c>
      <c r="B1" s="1260"/>
    </row>
    <row r="2" spans="1:2" ht="15.75">
      <c r="A2" s="1180" t="s">
        <v>86</v>
      </c>
      <c r="B2" s="1260"/>
    </row>
    <row r="3" spans="1:2" ht="12.75" customHeight="1">
      <c r="A3" s="1180"/>
      <c r="B3" s="1260"/>
    </row>
    <row r="4" ht="13.5" thickBot="1"/>
    <row r="5" spans="1:2" ht="13.5" thickTop="1">
      <c r="A5" s="659" t="s">
        <v>87</v>
      </c>
      <c r="B5" s="660"/>
    </row>
    <row r="6" spans="1:2" ht="12.75">
      <c r="A6" s="661" t="s">
        <v>88</v>
      </c>
      <c r="B6" s="314"/>
    </row>
    <row r="7" spans="1:2" ht="12.75">
      <c r="A7" s="661"/>
      <c r="B7" s="662"/>
    </row>
    <row r="8" spans="1:2" ht="12.75">
      <c r="A8" s="49" t="s">
        <v>89</v>
      </c>
      <c r="B8" s="662"/>
    </row>
    <row r="9" spans="1:2" ht="12.75">
      <c r="A9" s="10" t="s">
        <v>1188</v>
      </c>
      <c r="B9" s="314"/>
    </row>
    <row r="10" spans="1:2" ht="12.75">
      <c r="A10" s="10" t="s">
        <v>90</v>
      </c>
      <c r="B10" s="314">
        <v>8765</v>
      </c>
    </row>
    <row r="11" spans="1:2" ht="12.75">
      <c r="A11" s="10" t="s">
        <v>91</v>
      </c>
      <c r="B11" s="314">
        <v>81</v>
      </c>
    </row>
    <row r="12" spans="1:2" ht="12.75">
      <c r="A12" s="10" t="s">
        <v>92</v>
      </c>
      <c r="B12" s="314"/>
    </row>
    <row r="13" spans="1:2" ht="12.75">
      <c r="A13" s="10" t="s">
        <v>93</v>
      </c>
      <c r="B13" s="314">
        <v>16718</v>
      </c>
    </row>
    <row r="14" spans="1:2" ht="12.75">
      <c r="A14" s="26" t="s">
        <v>94</v>
      </c>
      <c r="B14" s="247">
        <f>SUM(B9:B13)</f>
        <v>25564</v>
      </c>
    </row>
    <row r="15" spans="1:2" ht="12.75">
      <c r="A15" s="10"/>
      <c r="B15" s="314"/>
    </row>
    <row r="16" spans="1:2" ht="12.75">
      <c r="A16" s="26" t="s">
        <v>1189</v>
      </c>
      <c r="B16" s="314"/>
    </row>
    <row r="17" spans="1:2" ht="12.75">
      <c r="A17" s="10" t="s">
        <v>95</v>
      </c>
      <c r="B17" s="314"/>
    </row>
    <row r="18" spans="1:2" ht="12.75">
      <c r="A18" s="10" t="s">
        <v>96</v>
      </c>
      <c r="B18" s="314">
        <v>4347</v>
      </c>
    </row>
    <row r="19" spans="1:2" ht="12.75">
      <c r="A19" s="10" t="s">
        <v>97</v>
      </c>
      <c r="B19" s="247"/>
    </row>
    <row r="20" spans="1:2" ht="12.75">
      <c r="A20" s="10" t="s">
        <v>98</v>
      </c>
      <c r="B20" s="314">
        <v>2189</v>
      </c>
    </row>
    <row r="21" spans="1:2" ht="12.75">
      <c r="A21" s="26" t="s">
        <v>99</v>
      </c>
      <c r="B21" s="247">
        <f>SUM(B18+B20)</f>
        <v>6536</v>
      </c>
    </row>
    <row r="22" spans="1:2" ht="12.75">
      <c r="A22" s="10"/>
      <c r="B22" s="314"/>
    </row>
    <row r="23" spans="1:2" ht="26.25" customHeight="1">
      <c r="A23" s="63" t="s">
        <v>100</v>
      </c>
      <c r="B23" s="314"/>
    </row>
    <row r="24" spans="1:2" ht="12.75">
      <c r="A24" s="10"/>
      <c r="B24" s="314"/>
    </row>
    <row r="25" spans="1:2" ht="12.75">
      <c r="A25" s="26" t="s">
        <v>1190</v>
      </c>
      <c r="B25" s="247">
        <v>5015</v>
      </c>
    </row>
    <row r="26" spans="1:2" ht="12.75">
      <c r="A26" s="10"/>
      <c r="B26" s="314"/>
    </row>
    <row r="27" spans="1:2" ht="12.75">
      <c r="A27" s="26" t="s">
        <v>101</v>
      </c>
      <c r="B27" s="314"/>
    </row>
    <row r="28" spans="1:2" ht="12.75">
      <c r="A28" s="10" t="s">
        <v>102</v>
      </c>
      <c r="B28" s="314">
        <v>6900</v>
      </c>
    </row>
    <row r="29" spans="1:2" ht="12.75">
      <c r="A29" s="10" t="s">
        <v>103</v>
      </c>
      <c r="B29" s="314">
        <v>9359</v>
      </c>
    </row>
    <row r="30" spans="1:2" ht="12.75">
      <c r="A30" s="10" t="s">
        <v>104</v>
      </c>
      <c r="B30" s="314">
        <v>63548</v>
      </c>
    </row>
    <row r="31" spans="1:2" ht="12.75">
      <c r="A31" s="10" t="s">
        <v>945</v>
      </c>
      <c r="B31" s="314">
        <v>37930</v>
      </c>
    </row>
    <row r="32" spans="1:2" ht="12.75">
      <c r="A32" s="10" t="s">
        <v>105</v>
      </c>
      <c r="B32" s="314">
        <v>814</v>
      </c>
    </row>
    <row r="33" spans="1:2" ht="12.75">
      <c r="A33" s="10" t="s">
        <v>106</v>
      </c>
      <c r="B33" s="314">
        <v>108</v>
      </c>
    </row>
    <row r="34" spans="1:2" ht="12.75">
      <c r="A34" s="26" t="s">
        <v>107</v>
      </c>
      <c r="B34" s="247">
        <f>SUM(B28:B33)</f>
        <v>118659</v>
      </c>
    </row>
    <row r="35" spans="1:2" ht="12.75">
      <c r="A35" s="10"/>
      <c r="B35" s="314"/>
    </row>
    <row r="36" spans="1:2" ht="12.75">
      <c r="A36" s="26" t="s">
        <v>108</v>
      </c>
      <c r="B36" s="314"/>
    </row>
    <row r="37" spans="1:2" ht="12.75">
      <c r="A37" s="10" t="s">
        <v>102</v>
      </c>
      <c r="B37" s="314">
        <v>2402</v>
      </c>
    </row>
    <row r="38" spans="1:2" ht="12.75">
      <c r="A38" s="10" t="s">
        <v>103</v>
      </c>
      <c r="B38" s="314">
        <v>30814</v>
      </c>
    </row>
    <row r="39" spans="1:2" ht="12.75">
      <c r="A39" s="10" t="s">
        <v>104</v>
      </c>
      <c r="B39" s="314">
        <v>58011</v>
      </c>
    </row>
    <row r="40" spans="1:2" ht="12.75">
      <c r="A40" s="10" t="s">
        <v>945</v>
      </c>
      <c r="B40" s="314">
        <v>11315</v>
      </c>
    </row>
    <row r="41" spans="1:2" ht="12.75">
      <c r="A41" s="10" t="s">
        <v>105</v>
      </c>
      <c r="B41" s="314">
        <v>4126</v>
      </c>
    </row>
    <row r="42" spans="1:2" ht="12.75">
      <c r="A42" s="10" t="s">
        <v>109</v>
      </c>
      <c r="B42" s="314">
        <v>561</v>
      </c>
    </row>
    <row r="43" spans="1:2" ht="12.75">
      <c r="A43" s="26" t="s">
        <v>110</v>
      </c>
      <c r="B43" s="247">
        <f>SUM(B37:B42)</f>
        <v>107229</v>
      </c>
    </row>
    <row r="44" spans="1:2" ht="12.75">
      <c r="A44" s="10"/>
      <c r="B44" s="314"/>
    </row>
    <row r="45" spans="1:2" ht="12.75">
      <c r="A45" s="67" t="s">
        <v>111</v>
      </c>
      <c r="B45" s="663">
        <f>SUM(B14+B21+B25+B34+B43)</f>
        <v>263003</v>
      </c>
    </row>
    <row r="46" spans="1:2" ht="12.75">
      <c r="A46" s="10"/>
      <c r="B46" s="314"/>
    </row>
    <row r="47" spans="1:2" ht="12.75">
      <c r="A47" s="26" t="s">
        <v>353</v>
      </c>
      <c r="B47" s="247">
        <v>240</v>
      </c>
    </row>
    <row r="48" spans="1:2" ht="12.75">
      <c r="A48" s="10"/>
      <c r="B48" s="314"/>
    </row>
    <row r="49" spans="1:2" ht="12.75">
      <c r="A49" s="26" t="s">
        <v>354</v>
      </c>
      <c r="B49" s="247">
        <v>0</v>
      </c>
    </row>
    <row r="50" spans="1:2" ht="12.75">
      <c r="A50" s="67"/>
      <c r="B50" s="664"/>
    </row>
    <row r="51" spans="1:2" ht="12.75">
      <c r="A51" s="67" t="s">
        <v>112</v>
      </c>
      <c r="B51" s="663">
        <v>0</v>
      </c>
    </row>
    <row r="52" spans="1:2" ht="12.75">
      <c r="A52" s="67"/>
      <c r="B52" s="663"/>
    </row>
    <row r="53" spans="1:2" ht="12.75">
      <c r="A53" s="67" t="s">
        <v>355</v>
      </c>
      <c r="B53" s="663">
        <v>42</v>
      </c>
    </row>
    <row r="54" spans="1:2" ht="12.75">
      <c r="A54" s="10"/>
      <c r="B54" s="314"/>
    </row>
    <row r="55" spans="1:2" ht="13.5" thickBot="1">
      <c r="A55" s="27" t="s">
        <v>113</v>
      </c>
      <c r="B55" s="658">
        <f>SUM(B45+B47+B49+B51+B53)</f>
        <v>263285</v>
      </c>
    </row>
    <row r="56" ht="13.5" thickTop="1"/>
  </sheetData>
  <mergeCells count="3">
    <mergeCell ref="A1:B1"/>
    <mergeCell ref="A2:B2"/>
    <mergeCell ref="A3:B3"/>
  </mergeCells>
  <printOptions horizontalCentered="1"/>
  <pageMargins left="0.7874015748031497" right="0.7874015748031497" top="0.984251968503937" bottom="0.7086614173228347" header="0.5118110236220472" footer="0.5118110236220472"/>
  <pageSetup horizontalDpi="600" verticalDpi="600" orientation="portrait" paperSize="9" r:id="rId1"/>
  <headerFooter alignWithMargins="0">
    <oddHeader>&amp;L17. sz.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C7" sqref="C7"/>
    </sheetView>
  </sheetViews>
  <sheetFormatPr defaultColWidth="9.00390625" defaultRowHeight="12.75"/>
  <cols>
    <col min="1" max="1" width="3.875" style="0" customWidth="1"/>
    <col min="2" max="2" width="33.125" style="0" bestFit="1" customWidth="1"/>
    <col min="3" max="3" width="11.125" style="0" customWidth="1"/>
    <col min="5" max="5" width="12.375" style="0" customWidth="1"/>
    <col min="6" max="6" width="11.875" style="0" customWidth="1"/>
    <col min="7" max="7" width="10.375" style="0" customWidth="1"/>
    <col min="8" max="8" width="10.00390625" style="0" customWidth="1"/>
  </cols>
  <sheetData>
    <row r="1" spans="1:8" ht="12.75">
      <c r="A1" s="665"/>
      <c r="B1" s="4"/>
      <c r="C1" s="9"/>
      <c r="D1" s="9"/>
      <c r="E1" s="9"/>
      <c r="F1" s="9"/>
      <c r="G1" s="9"/>
      <c r="H1" s="9"/>
    </row>
    <row r="2" spans="1:8" ht="13.5">
      <c r="A2" s="1261" t="s">
        <v>114</v>
      </c>
      <c r="B2" s="1261"/>
      <c r="C2" s="1261"/>
      <c r="D2" s="1261"/>
      <c r="E2" s="1261"/>
      <c r="F2" s="1261"/>
      <c r="G2" s="1261"/>
      <c r="H2" s="1261"/>
    </row>
    <row r="3" spans="1:8" ht="13.5">
      <c r="A3" s="1261" t="s">
        <v>1438</v>
      </c>
      <c r="B3" s="1261"/>
      <c r="C3" s="1261"/>
      <c r="D3" s="1261"/>
      <c r="E3" s="1261"/>
      <c r="F3" s="1261"/>
      <c r="G3" s="1261"/>
      <c r="H3" s="1261"/>
    </row>
    <row r="4" spans="1:8" ht="15.75">
      <c r="A4" s="1262" t="s">
        <v>115</v>
      </c>
      <c r="B4" s="1262"/>
      <c r="C4" s="1262"/>
      <c r="D4" s="1262"/>
      <c r="E4" s="1262"/>
      <c r="F4" s="1262"/>
      <c r="G4" s="1262"/>
      <c r="H4" s="1262"/>
    </row>
    <row r="5" spans="1:8" ht="15.75">
      <c r="A5" s="667"/>
      <c r="B5" s="667"/>
      <c r="C5" s="667"/>
      <c r="D5" s="667"/>
      <c r="E5" s="667"/>
      <c r="F5" s="667"/>
      <c r="G5" s="667"/>
      <c r="H5" s="667"/>
    </row>
    <row r="6" spans="1:8" ht="16.5" thickBot="1">
      <c r="A6" s="668"/>
      <c r="B6" s="669"/>
      <c r="C6" s="670"/>
      <c r="D6" s="670"/>
      <c r="E6" s="670"/>
      <c r="F6" s="670"/>
      <c r="G6" s="670"/>
      <c r="H6" s="671" t="s">
        <v>453</v>
      </c>
    </row>
    <row r="7" spans="1:8" ht="52.5" thickBot="1" thickTop="1">
      <c r="A7" s="672" t="s">
        <v>115</v>
      </c>
      <c r="B7" s="673"/>
      <c r="C7" s="674" t="s">
        <v>116</v>
      </c>
      <c r="D7" s="674" t="s">
        <v>117</v>
      </c>
      <c r="E7" s="674" t="s">
        <v>118</v>
      </c>
      <c r="F7" s="674" t="s">
        <v>119</v>
      </c>
      <c r="G7" s="674" t="s">
        <v>120</v>
      </c>
      <c r="H7" s="675" t="s">
        <v>121</v>
      </c>
    </row>
    <row r="8" spans="1:8" ht="13.5" thickTop="1">
      <c r="A8" s="656" t="s">
        <v>122</v>
      </c>
      <c r="B8" s="676" t="s">
        <v>123</v>
      </c>
      <c r="C8" s="551">
        <f>SUM(C9:C12)</f>
        <v>16618523</v>
      </c>
      <c r="D8" s="551"/>
      <c r="E8" s="551">
        <f>SUM(E9:E12)</f>
        <v>16618523</v>
      </c>
      <c r="F8" s="551">
        <f>SUM(F9:F12)</f>
        <v>15026437</v>
      </c>
      <c r="G8" s="551"/>
      <c r="H8" s="677">
        <f>SUM(H9:H12)</f>
        <v>15026437</v>
      </c>
    </row>
    <row r="9" spans="1:8" ht="12.75">
      <c r="A9" s="10" t="s">
        <v>124</v>
      </c>
      <c r="B9" s="385" t="s">
        <v>125</v>
      </c>
      <c r="C9" s="204">
        <v>3823</v>
      </c>
      <c r="D9" s="204"/>
      <c r="E9" s="204">
        <v>3823</v>
      </c>
      <c r="F9" s="204">
        <v>8598</v>
      </c>
      <c r="G9" s="204"/>
      <c r="H9" s="314">
        <v>8598</v>
      </c>
    </row>
    <row r="10" spans="1:8" ht="12.75">
      <c r="A10" s="10" t="s">
        <v>126</v>
      </c>
      <c r="B10" s="385" t="s">
        <v>127</v>
      </c>
      <c r="C10" s="204">
        <v>9975932</v>
      </c>
      <c r="D10" s="204"/>
      <c r="E10" s="204">
        <v>9975932</v>
      </c>
      <c r="F10" s="204">
        <v>10282468</v>
      </c>
      <c r="G10" s="204"/>
      <c r="H10" s="314">
        <v>10282468</v>
      </c>
    </row>
    <row r="11" spans="1:8" ht="12.75">
      <c r="A11" s="10" t="s">
        <v>128</v>
      </c>
      <c r="B11" s="385" t="s">
        <v>129</v>
      </c>
      <c r="C11" s="204">
        <v>2143213</v>
      </c>
      <c r="D11" s="204"/>
      <c r="E11" s="204">
        <v>2143213</v>
      </c>
      <c r="F11" s="204">
        <v>156864</v>
      </c>
      <c r="G11" s="204"/>
      <c r="H11" s="314">
        <v>156864</v>
      </c>
    </row>
    <row r="12" spans="1:8" ht="12.75">
      <c r="A12" s="10" t="s">
        <v>130</v>
      </c>
      <c r="B12" s="385" t="s">
        <v>131</v>
      </c>
      <c r="C12" s="204">
        <v>4495555</v>
      </c>
      <c r="D12" s="204"/>
      <c r="E12" s="204">
        <v>4495555</v>
      </c>
      <c r="F12" s="204">
        <v>4578507</v>
      </c>
      <c r="G12" s="204"/>
      <c r="H12" s="314">
        <v>4578507</v>
      </c>
    </row>
    <row r="13" spans="1:8" ht="12.75">
      <c r="A13" s="10"/>
      <c r="B13" s="385"/>
      <c r="C13" s="204"/>
      <c r="D13" s="204"/>
      <c r="E13" s="204"/>
      <c r="F13" s="204"/>
      <c r="G13" s="204"/>
      <c r="H13" s="314"/>
    </row>
    <row r="14" spans="1:8" ht="12.75">
      <c r="A14" s="10" t="s">
        <v>132</v>
      </c>
      <c r="B14" s="385" t="s">
        <v>133</v>
      </c>
      <c r="C14" s="204">
        <f>SUM(C15:C19)</f>
        <v>1451481</v>
      </c>
      <c r="D14" s="204"/>
      <c r="E14" s="204">
        <f>SUM(E15:E19)</f>
        <v>1451481</v>
      </c>
      <c r="F14" s="204">
        <f>SUM(F15:F19)</f>
        <v>2990399</v>
      </c>
      <c r="G14" s="204"/>
      <c r="H14" s="314">
        <f>SUM(H15:H19)</f>
        <v>2990399</v>
      </c>
    </row>
    <row r="15" spans="1:8" ht="12.75">
      <c r="A15" s="10" t="s">
        <v>124</v>
      </c>
      <c r="B15" s="385" t="s">
        <v>134</v>
      </c>
      <c r="C15" s="204">
        <v>20308</v>
      </c>
      <c r="D15" s="204"/>
      <c r="E15" s="204">
        <v>20308</v>
      </c>
      <c r="F15" s="204">
        <v>20468</v>
      </c>
      <c r="G15" s="204"/>
      <c r="H15" s="314">
        <v>20468</v>
      </c>
    </row>
    <row r="16" spans="1:8" ht="12.75">
      <c r="A16" s="10" t="s">
        <v>126</v>
      </c>
      <c r="B16" s="385" t="s">
        <v>135</v>
      </c>
      <c r="C16" s="204">
        <v>297375</v>
      </c>
      <c r="D16" s="204"/>
      <c r="E16" s="204">
        <v>297375</v>
      </c>
      <c r="F16" s="204">
        <v>373827</v>
      </c>
      <c r="G16" s="204"/>
      <c r="H16" s="314">
        <v>373827</v>
      </c>
    </row>
    <row r="17" spans="1:8" ht="12.75">
      <c r="A17" s="10" t="s">
        <v>128</v>
      </c>
      <c r="B17" s="385" t="s">
        <v>136</v>
      </c>
      <c r="C17" s="204">
        <v>729569</v>
      </c>
      <c r="D17" s="204"/>
      <c r="E17" s="204">
        <v>729569</v>
      </c>
      <c r="F17" s="204"/>
      <c r="G17" s="204"/>
      <c r="H17" s="314"/>
    </row>
    <row r="18" spans="1:8" ht="12.75">
      <c r="A18" s="10" t="s">
        <v>130</v>
      </c>
      <c r="B18" s="385" t="s">
        <v>137</v>
      </c>
      <c r="C18" s="204">
        <v>281918</v>
      </c>
      <c r="D18" s="204"/>
      <c r="E18" s="204">
        <v>281918</v>
      </c>
      <c r="F18" s="204">
        <v>2352273</v>
      </c>
      <c r="G18" s="204"/>
      <c r="H18" s="314">
        <v>2352273</v>
      </c>
    </row>
    <row r="19" spans="1:8" ht="12.75">
      <c r="A19" s="10" t="s">
        <v>138</v>
      </c>
      <c r="B19" s="385" t="s">
        <v>139</v>
      </c>
      <c r="C19" s="204">
        <v>122311</v>
      </c>
      <c r="D19" s="204"/>
      <c r="E19" s="204">
        <v>122311</v>
      </c>
      <c r="F19" s="204">
        <v>243831</v>
      </c>
      <c r="G19" s="204"/>
      <c r="H19" s="314">
        <v>243831</v>
      </c>
    </row>
    <row r="20" spans="1:8" ht="12.75">
      <c r="A20" s="10"/>
      <c r="B20" s="385"/>
      <c r="C20" s="204"/>
      <c r="D20" s="204"/>
      <c r="E20" s="204"/>
      <c r="F20" s="204"/>
      <c r="G20" s="204"/>
      <c r="H20" s="314"/>
    </row>
    <row r="21" spans="1:8" ht="13.5" thickBot="1">
      <c r="A21" s="678" t="s">
        <v>140</v>
      </c>
      <c r="B21" s="679"/>
      <c r="C21" s="680">
        <f>SUM(C8+C14)</f>
        <v>18070004</v>
      </c>
      <c r="D21" s="680"/>
      <c r="E21" s="680">
        <f>SUM(E8+E14)</f>
        <v>18070004</v>
      </c>
      <c r="F21" s="680">
        <f>SUM(F8+F14)</f>
        <v>18016836</v>
      </c>
      <c r="G21" s="680"/>
      <c r="H21" s="681">
        <f>SUM(H8+H14)</f>
        <v>18016836</v>
      </c>
    </row>
    <row r="22" spans="1:8" ht="13.5" thickTop="1">
      <c r="A22" s="1"/>
      <c r="B22" s="1"/>
      <c r="C22" s="349"/>
      <c r="D22" s="349"/>
      <c r="E22" s="349"/>
      <c r="F22" s="349"/>
      <c r="G22" s="349"/>
      <c r="H22" s="349"/>
    </row>
    <row r="23" spans="1:8" ht="12.75">
      <c r="A23" s="1"/>
      <c r="B23" s="1"/>
      <c r="C23" s="349"/>
      <c r="D23" s="349"/>
      <c r="E23" s="349"/>
      <c r="F23" s="349"/>
      <c r="G23" s="349"/>
      <c r="H23" s="349"/>
    </row>
    <row r="24" spans="1:8" ht="12.75">
      <c r="A24" s="1"/>
      <c r="B24" s="1"/>
      <c r="C24" s="349"/>
      <c r="D24" s="349"/>
      <c r="E24" s="349"/>
      <c r="F24" s="349"/>
      <c r="G24" s="349"/>
      <c r="H24" s="349"/>
    </row>
    <row r="25" spans="1:8" ht="12.75">
      <c r="A25" s="682"/>
      <c r="B25" s="683"/>
      <c r="C25" s="684"/>
      <c r="D25" s="684"/>
      <c r="E25" s="684"/>
      <c r="F25" s="684"/>
      <c r="G25" s="684"/>
      <c r="H25" s="684"/>
    </row>
    <row r="26" spans="1:8" ht="13.5">
      <c r="A26" s="1261" t="s">
        <v>114</v>
      </c>
      <c r="B26" s="1261"/>
      <c r="C26" s="1261"/>
      <c r="D26" s="1261"/>
      <c r="E26" s="1261"/>
      <c r="F26" s="1261"/>
      <c r="G26" s="1261"/>
      <c r="H26" s="1261"/>
    </row>
    <row r="27" spans="1:8" ht="13.5">
      <c r="A27" s="1261" t="s">
        <v>1438</v>
      </c>
      <c r="B27" s="1261"/>
      <c r="C27" s="1261"/>
      <c r="D27" s="1261"/>
      <c r="E27" s="1261"/>
      <c r="F27" s="1261"/>
      <c r="G27" s="1261"/>
      <c r="H27" s="1261"/>
    </row>
    <row r="28" spans="1:8" ht="15.75">
      <c r="A28" s="1262" t="s">
        <v>141</v>
      </c>
      <c r="B28" s="1262"/>
      <c r="C28" s="1262"/>
      <c r="D28" s="1262"/>
      <c r="E28" s="1262"/>
      <c r="F28" s="1262"/>
      <c r="G28" s="1262"/>
      <c r="H28" s="1262"/>
    </row>
    <row r="29" ht="13.5" thickBot="1">
      <c r="H29" s="671" t="s">
        <v>453</v>
      </c>
    </row>
    <row r="30" spans="1:8" ht="52.5" thickBot="1" thickTop="1">
      <c r="A30" s="672" t="s">
        <v>141</v>
      </c>
      <c r="B30" s="685"/>
      <c r="C30" s="674" t="s">
        <v>116</v>
      </c>
      <c r="D30" s="674" t="s">
        <v>117</v>
      </c>
      <c r="E30" s="674" t="s">
        <v>118</v>
      </c>
      <c r="F30" s="674" t="s">
        <v>119</v>
      </c>
      <c r="G30" s="674" t="s">
        <v>120</v>
      </c>
      <c r="H30" s="675" t="s">
        <v>121</v>
      </c>
    </row>
    <row r="31" spans="1:8" ht="13.5" thickTop="1">
      <c r="A31" s="656" t="s">
        <v>142</v>
      </c>
      <c r="B31" s="676" t="s">
        <v>143</v>
      </c>
      <c r="C31" s="551">
        <f>SUM(C32:C33)</f>
        <v>13753675</v>
      </c>
      <c r="D31" s="551"/>
      <c r="E31" s="551">
        <f>SUM(E32:E33)</f>
        <v>13753675</v>
      </c>
      <c r="F31" s="686">
        <f>SUM(F32:F33)</f>
        <v>10655947</v>
      </c>
      <c r="G31" s="338"/>
      <c r="H31" s="677">
        <f>SUM(H32:H33)</f>
        <v>10655947</v>
      </c>
    </row>
    <row r="32" spans="1:8" ht="12.75">
      <c r="A32" s="10" t="s">
        <v>1525</v>
      </c>
      <c r="B32" s="385" t="s">
        <v>144</v>
      </c>
      <c r="C32" s="204">
        <v>1211210</v>
      </c>
      <c r="D32" s="204"/>
      <c r="E32" s="204">
        <v>1211210</v>
      </c>
      <c r="F32" s="204">
        <v>1211210</v>
      </c>
      <c r="G32" s="344"/>
      <c r="H32" s="314">
        <v>1211210</v>
      </c>
    </row>
    <row r="33" spans="1:8" ht="12.75">
      <c r="A33" s="10" t="s">
        <v>145</v>
      </c>
      <c r="B33" s="385" t="s">
        <v>146</v>
      </c>
      <c r="C33" s="204">
        <v>12542465</v>
      </c>
      <c r="D33" s="204"/>
      <c r="E33" s="204">
        <v>12542465</v>
      </c>
      <c r="F33" s="204">
        <v>9444737</v>
      </c>
      <c r="G33" s="344"/>
      <c r="H33" s="314">
        <v>9444737</v>
      </c>
    </row>
    <row r="34" spans="1:8" ht="12.75">
      <c r="A34" s="10" t="s">
        <v>1528</v>
      </c>
      <c r="B34" s="385" t="s">
        <v>147</v>
      </c>
      <c r="C34" s="204"/>
      <c r="D34" s="204"/>
      <c r="E34" s="204"/>
      <c r="F34" s="204"/>
      <c r="G34" s="344"/>
      <c r="H34" s="314"/>
    </row>
    <row r="35" spans="1:8" ht="12.75">
      <c r="A35" s="10"/>
      <c r="B35" s="385"/>
      <c r="C35" s="204"/>
      <c r="D35" s="204"/>
      <c r="E35" s="204"/>
      <c r="F35" s="204"/>
      <c r="G35" s="344"/>
      <c r="H35" s="314"/>
    </row>
    <row r="36" spans="1:8" ht="12.75">
      <c r="A36" s="10" t="s">
        <v>148</v>
      </c>
      <c r="B36" s="385" t="s">
        <v>149</v>
      </c>
      <c r="C36" s="204">
        <f>SUM(C37:C38)</f>
        <v>167758</v>
      </c>
      <c r="D36" s="204"/>
      <c r="E36" s="204">
        <f>SUM(E37:E38)</f>
        <v>167758</v>
      </c>
      <c r="F36" s="204">
        <f>SUM(F37:F38)</f>
        <v>2448374</v>
      </c>
      <c r="G36" s="204"/>
      <c r="H36" s="314">
        <f>SUM(H37:H38)</f>
        <v>2448374</v>
      </c>
    </row>
    <row r="37" spans="1:8" ht="12.75">
      <c r="A37" s="10" t="s">
        <v>124</v>
      </c>
      <c r="B37" s="385" t="s">
        <v>150</v>
      </c>
      <c r="C37" s="204">
        <v>167758</v>
      </c>
      <c r="D37" s="204"/>
      <c r="E37" s="204">
        <v>167758</v>
      </c>
      <c r="F37" s="204">
        <v>2448374</v>
      </c>
      <c r="G37" s="344"/>
      <c r="H37" s="314">
        <v>2448374</v>
      </c>
    </row>
    <row r="38" spans="1:8" ht="12.75">
      <c r="A38" s="10" t="s">
        <v>151</v>
      </c>
      <c r="B38" s="385" t="s">
        <v>152</v>
      </c>
      <c r="C38" s="204"/>
      <c r="D38" s="204"/>
      <c r="E38" s="204"/>
      <c r="F38" s="204"/>
      <c r="G38" s="344"/>
      <c r="H38" s="314"/>
    </row>
    <row r="39" spans="1:8" ht="12.75">
      <c r="A39" s="10"/>
      <c r="B39" s="385"/>
      <c r="C39" s="204"/>
      <c r="D39" s="204"/>
      <c r="E39" s="204"/>
      <c r="F39" s="204"/>
      <c r="G39" s="344"/>
      <c r="H39" s="314"/>
    </row>
    <row r="40" spans="1:8" ht="12.75">
      <c r="A40" s="10" t="s">
        <v>153</v>
      </c>
      <c r="B40" s="385" t="s">
        <v>154</v>
      </c>
      <c r="C40" s="204">
        <f>SUM(C41:C43)</f>
        <v>4148571</v>
      </c>
      <c r="D40" s="204"/>
      <c r="E40" s="204">
        <f>SUM(E41:E43)</f>
        <v>4148571</v>
      </c>
      <c r="F40" s="204">
        <f>SUM(F41:F43)</f>
        <v>4912515</v>
      </c>
      <c r="G40" s="344"/>
      <c r="H40" s="314">
        <f>SUM(H41:H43)</f>
        <v>4912515</v>
      </c>
    </row>
    <row r="41" spans="1:8" ht="12.75">
      <c r="A41" s="10" t="s">
        <v>124</v>
      </c>
      <c r="B41" s="385" t="s">
        <v>155</v>
      </c>
      <c r="C41" s="204">
        <v>3657791</v>
      </c>
      <c r="D41" s="204"/>
      <c r="E41" s="204">
        <v>3657791</v>
      </c>
      <c r="F41" s="204">
        <v>4214908</v>
      </c>
      <c r="G41" s="344"/>
      <c r="H41" s="314">
        <v>4214908</v>
      </c>
    </row>
    <row r="42" spans="1:8" ht="12.75">
      <c r="A42" s="10" t="s">
        <v>126</v>
      </c>
      <c r="B42" s="385" t="s">
        <v>156</v>
      </c>
      <c r="C42" s="204">
        <v>254309</v>
      </c>
      <c r="D42" s="204"/>
      <c r="E42" s="204">
        <v>254309</v>
      </c>
      <c r="F42" s="204">
        <v>549877</v>
      </c>
      <c r="G42" s="344"/>
      <c r="H42" s="314">
        <v>549877</v>
      </c>
    </row>
    <row r="43" spans="1:8" ht="12.75">
      <c r="A43" s="10" t="s">
        <v>128</v>
      </c>
      <c r="B43" s="385" t="s">
        <v>157</v>
      </c>
      <c r="C43" s="204">
        <v>236471</v>
      </c>
      <c r="D43" s="204"/>
      <c r="E43" s="204">
        <v>236471</v>
      </c>
      <c r="F43" s="204">
        <v>147730</v>
      </c>
      <c r="G43" s="344"/>
      <c r="H43" s="314">
        <v>147730</v>
      </c>
    </row>
    <row r="44" spans="1:8" ht="12.75">
      <c r="A44" s="10"/>
      <c r="B44" s="385"/>
      <c r="C44" s="204"/>
      <c r="D44" s="204"/>
      <c r="E44" s="204"/>
      <c r="F44" s="204"/>
      <c r="G44" s="344"/>
      <c r="H44" s="314"/>
    </row>
    <row r="45" spans="1:8" ht="13.5" thickBot="1">
      <c r="A45" s="678"/>
      <c r="B45" s="679" t="s">
        <v>158</v>
      </c>
      <c r="C45" s="687">
        <f>SUM(C31+C36+C40)</f>
        <v>18070004</v>
      </c>
      <c r="D45" s="687"/>
      <c r="E45" s="687">
        <f>SUM(E31+E36+E40)</f>
        <v>18070004</v>
      </c>
      <c r="F45" s="687">
        <f>SUM(F31+F36+F40)</f>
        <v>18016836</v>
      </c>
      <c r="G45" s="680"/>
      <c r="H45" s="681">
        <f>SUM(H31+H36+H40)</f>
        <v>18016836</v>
      </c>
    </row>
    <row r="46" spans="1:8" ht="13.5" thickTop="1">
      <c r="A46" s="4"/>
      <c r="B46" s="4"/>
      <c r="C46" s="9"/>
      <c r="D46" s="9"/>
      <c r="E46" s="9"/>
      <c r="F46" s="9"/>
      <c r="G46" s="9"/>
      <c r="H46" s="9"/>
    </row>
    <row r="47" spans="1:8" ht="12.75">
      <c r="A47" s="4"/>
      <c r="B47" s="4"/>
      <c r="C47" s="9"/>
      <c r="D47" s="9"/>
      <c r="E47" s="9"/>
      <c r="F47" s="9"/>
      <c r="G47" s="9"/>
      <c r="H47" s="9"/>
    </row>
    <row r="48" spans="1:8" ht="12.75">
      <c r="A48" s="4"/>
      <c r="B48" s="4"/>
      <c r="C48" s="9"/>
      <c r="D48" s="9"/>
      <c r="E48" s="9"/>
      <c r="F48" s="9"/>
      <c r="G48" s="9"/>
      <c r="H48" s="9"/>
    </row>
    <row r="49" spans="1:8" ht="12.75">
      <c r="A49" s="4"/>
      <c r="B49" s="4"/>
      <c r="C49" s="9"/>
      <c r="D49" s="9"/>
      <c r="E49" s="9"/>
      <c r="F49" s="9"/>
      <c r="G49" s="9"/>
      <c r="H49" s="9"/>
    </row>
  </sheetData>
  <mergeCells count="6">
    <mergeCell ref="A27:H27"/>
    <mergeCell ref="A28:H28"/>
    <mergeCell ref="A2:H2"/>
    <mergeCell ref="A3:H3"/>
    <mergeCell ref="A4:H4"/>
    <mergeCell ref="A26:H26"/>
  </mergeCells>
  <printOptions/>
  <pageMargins left="0.33" right="0.36" top="1" bottom="1" header="0.5" footer="0.5"/>
  <pageSetup horizontalDpi="600" verticalDpi="600" orientation="portrait" paperSize="9" scale="95" r:id="rId1"/>
  <headerFooter alignWithMargins="0">
    <oddHeader>&amp;L18. sz.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A4" sqref="A4:E4"/>
    </sheetView>
  </sheetViews>
  <sheetFormatPr defaultColWidth="9.00390625" defaultRowHeight="12.75"/>
  <cols>
    <col min="1" max="1" width="6.75390625" style="0" customWidth="1"/>
    <col min="2" max="2" width="53.00390625" style="0" customWidth="1"/>
    <col min="3" max="3" width="9.25390625" style="0" bestFit="1" customWidth="1"/>
    <col min="4" max="4" width="9.75390625" style="0" bestFit="1" customWidth="1"/>
    <col min="5" max="5" width="9.375" style="0" customWidth="1"/>
  </cols>
  <sheetData>
    <row r="1" spans="1:5" ht="12.75">
      <c r="A1" s="665"/>
      <c r="B1" s="688"/>
      <c r="C1" s="689"/>
      <c r="D1" s="689"/>
      <c r="E1" s="689"/>
    </row>
    <row r="2" spans="1:5" ht="12.75">
      <c r="A2" s="690"/>
      <c r="B2" s="4"/>
      <c r="C2" s="9"/>
      <c r="D2" s="9"/>
      <c r="E2" s="9"/>
    </row>
    <row r="3" spans="1:5" ht="13.5">
      <c r="A3" s="1261" t="s">
        <v>114</v>
      </c>
      <c r="B3" s="1200"/>
      <c r="C3" s="1200"/>
      <c r="D3" s="1200"/>
      <c r="E3" s="1200"/>
    </row>
    <row r="4" spans="1:5" ht="13.5">
      <c r="A4" s="1261" t="s">
        <v>1437</v>
      </c>
      <c r="B4" s="1200"/>
      <c r="C4" s="1200"/>
      <c r="D4" s="1200"/>
      <c r="E4" s="1200"/>
    </row>
    <row r="5" spans="1:5" ht="13.5">
      <c r="A5" s="666"/>
      <c r="B5" s="610"/>
      <c r="C5" s="610"/>
      <c r="D5" s="610"/>
      <c r="E5" s="610"/>
    </row>
    <row r="6" spans="1:5" ht="13.5" thickBot="1">
      <c r="A6" s="690"/>
      <c r="B6" s="4"/>
      <c r="C6" s="9"/>
      <c r="D6" s="9"/>
      <c r="E6" s="671"/>
    </row>
    <row r="7" spans="1:5" ht="13.5" thickTop="1">
      <c r="A7" s="691" t="s">
        <v>159</v>
      </c>
      <c r="B7" s="692" t="s">
        <v>1334</v>
      </c>
      <c r="C7" s="693" t="s">
        <v>512</v>
      </c>
      <c r="D7" s="693" t="s">
        <v>1346</v>
      </c>
      <c r="E7" s="694" t="s">
        <v>386</v>
      </c>
    </row>
    <row r="8" spans="1:5" ht="13.5" thickBot="1">
      <c r="A8" s="695" t="s">
        <v>160</v>
      </c>
      <c r="B8" s="696"/>
      <c r="C8" s="1263" t="s">
        <v>1347</v>
      </c>
      <c r="D8" s="1264"/>
      <c r="E8" s="697"/>
    </row>
    <row r="9" spans="1:5" ht="13.5" thickTop="1">
      <c r="A9" s="698">
        <v>1</v>
      </c>
      <c r="B9" s="676" t="s">
        <v>1287</v>
      </c>
      <c r="C9" s="551">
        <v>1727161</v>
      </c>
      <c r="D9" s="551">
        <v>1857728</v>
      </c>
      <c r="E9" s="662">
        <v>1822701</v>
      </c>
    </row>
    <row r="10" spans="1:5" ht="12.75">
      <c r="A10" s="699">
        <v>2</v>
      </c>
      <c r="B10" s="385" t="s">
        <v>161</v>
      </c>
      <c r="C10" s="204">
        <v>545537</v>
      </c>
      <c r="D10" s="204">
        <v>557735</v>
      </c>
      <c r="E10" s="314">
        <v>542102</v>
      </c>
    </row>
    <row r="11" spans="1:5" ht="12.75">
      <c r="A11" s="699">
        <v>3</v>
      </c>
      <c r="B11" s="385" t="s">
        <v>162</v>
      </c>
      <c r="C11" s="204">
        <v>1480941</v>
      </c>
      <c r="D11" s="204">
        <v>1652656</v>
      </c>
      <c r="E11" s="314">
        <v>1553568</v>
      </c>
    </row>
    <row r="12" spans="1:5" ht="12.75">
      <c r="A12" s="699">
        <v>4</v>
      </c>
      <c r="B12" s="385" t="s">
        <v>163</v>
      </c>
      <c r="C12" s="204">
        <v>159000</v>
      </c>
      <c r="D12" s="204">
        <v>157330</v>
      </c>
      <c r="E12" s="314">
        <v>161676</v>
      </c>
    </row>
    <row r="13" spans="1:5" ht="12.75">
      <c r="A13" s="699">
        <v>5</v>
      </c>
      <c r="B13" s="385" t="s">
        <v>164</v>
      </c>
      <c r="C13" s="204">
        <v>218870</v>
      </c>
      <c r="D13" s="204">
        <v>293574</v>
      </c>
      <c r="E13" s="314">
        <v>282731</v>
      </c>
    </row>
    <row r="14" spans="1:5" ht="12.75">
      <c r="A14" s="699">
        <v>6</v>
      </c>
      <c r="B14" s="385" t="s">
        <v>1021</v>
      </c>
      <c r="C14" s="204">
        <v>8883</v>
      </c>
      <c r="D14" s="204">
        <v>8529</v>
      </c>
      <c r="E14" s="314">
        <v>8529</v>
      </c>
    </row>
    <row r="15" spans="1:5" ht="12.75">
      <c r="A15" s="699">
        <v>7</v>
      </c>
      <c r="B15" s="385" t="s">
        <v>1330</v>
      </c>
      <c r="C15" s="204">
        <v>224756</v>
      </c>
      <c r="D15" s="204">
        <v>452459</v>
      </c>
      <c r="E15" s="314">
        <v>207041</v>
      </c>
    </row>
    <row r="16" spans="1:5" ht="12.75">
      <c r="A16" s="699">
        <v>8</v>
      </c>
      <c r="B16" s="385" t="s">
        <v>511</v>
      </c>
      <c r="C16" s="204">
        <v>1090889</v>
      </c>
      <c r="D16" s="204">
        <v>1700234</v>
      </c>
      <c r="E16" s="314">
        <v>562111</v>
      </c>
    </row>
    <row r="17" spans="1:5" ht="12.75">
      <c r="A17" s="699">
        <v>9</v>
      </c>
      <c r="B17" s="385" t="s">
        <v>165</v>
      </c>
      <c r="C17" s="204">
        <v>13203</v>
      </c>
      <c r="D17" s="204">
        <v>183363</v>
      </c>
      <c r="E17" s="314">
        <v>65523</v>
      </c>
    </row>
    <row r="18" spans="1:5" ht="12.75">
      <c r="A18" s="699">
        <v>10</v>
      </c>
      <c r="B18" s="385" t="s">
        <v>166</v>
      </c>
      <c r="C18" s="204">
        <v>183900</v>
      </c>
      <c r="D18" s="204">
        <v>643940</v>
      </c>
      <c r="E18" s="314">
        <v>528613</v>
      </c>
    </row>
    <row r="19" spans="1:5" ht="12.75">
      <c r="A19" s="699">
        <v>11</v>
      </c>
      <c r="B19" s="385" t="s">
        <v>167</v>
      </c>
      <c r="C19" s="204">
        <v>8500</v>
      </c>
      <c r="D19" s="204">
        <v>33500</v>
      </c>
      <c r="E19" s="314">
        <v>6484</v>
      </c>
    </row>
    <row r="20" spans="1:5" ht="12.75">
      <c r="A20" s="699">
        <v>12</v>
      </c>
      <c r="B20" s="385" t="s">
        <v>168</v>
      </c>
      <c r="C20" s="204"/>
      <c r="D20" s="204">
        <v>7000</v>
      </c>
      <c r="E20" s="314">
        <v>7000</v>
      </c>
    </row>
    <row r="21" spans="1:5" ht="12.75">
      <c r="A21" s="700">
        <v>13</v>
      </c>
      <c r="B21" s="701" t="s">
        <v>169</v>
      </c>
      <c r="C21" s="209">
        <f>SUM(C9:C20)</f>
        <v>5661640</v>
      </c>
      <c r="D21" s="209">
        <f>SUM(D9:D20)</f>
        <v>7548048</v>
      </c>
      <c r="E21" s="247">
        <f>SUM(E9:E20)</f>
        <v>5748079</v>
      </c>
    </row>
    <row r="22" spans="1:5" ht="12.75">
      <c r="A22" s="700">
        <v>14</v>
      </c>
      <c r="B22" s="385" t="s">
        <v>170</v>
      </c>
      <c r="C22" s="204">
        <v>17973</v>
      </c>
      <c r="D22" s="204">
        <v>14612</v>
      </c>
      <c r="E22" s="314">
        <v>14299</v>
      </c>
    </row>
    <row r="23" spans="1:5" s="702" customFormat="1" ht="12.75">
      <c r="A23" s="699">
        <v>15</v>
      </c>
      <c r="B23" s="385" t="s">
        <v>171</v>
      </c>
      <c r="C23" s="204"/>
      <c r="D23" s="204"/>
      <c r="E23" s="314"/>
    </row>
    <row r="24" spans="1:5" s="702" customFormat="1" ht="12.75">
      <c r="A24" s="699">
        <v>16</v>
      </c>
      <c r="B24" s="385" t="s">
        <v>172</v>
      </c>
      <c r="C24" s="204"/>
      <c r="D24" s="204"/>
      <c r="E24" s="314"/>
    </row>
    <row r="25" spans="1:5" ht="12.75">
      <c r="A25" s="699">
        <v>17</v>
      </c>
      <c r="B25" s="385" t="s">
        <v>173</v>
      </c>
      <c r="C25" s="204"/>
      <c r="D25" s="204"/>
      <c r="E25" s="314"/>
    </row>
    <row r="26" spans="1:5" ht="12.75">
      <c r="A26" s="700">
        <v>18</v>
      </c>
      <c r="B26" s="701" t="s">
        <v>174</v>
      </c>
      <c r="C26" s="209">
        <f>SUM(C22:C25)</f>
        <v>17973</v>
      </c>
      <c r="D26" s="209">
        <f>SUM(D22:D25)</f>
        <v>14612</v>
      </c>
      <c r="E26" s="247">
        <f>SUM(E22:E25)</f>
        <v>14299</v>
      </c>
    </row>
    <row r="27" spans="1:5" ht="13.5">
      <c r="A27" s="700">
        <v>19</v>
      </c>
      <c r="B27" s="703" t="s">
        <v>175</v>
      </c>
      <c r="C27" s="209">
        <f>SUM(C21+C26)</f>
        <v>5679613</v>
      </c>
      <c r="D27" s="209">
        <f>SUM(D21+D26)</f>
        <v>7562660</v>
      </c>
      <c r="E27" s="247">
        <f>SUM(E21+E26)</f>
        <v>5762378</v>
      </c>
    </row>
    <row r="28" spans="1:5" ht="12.75">
      <c r="A28" s="699">
        <v>20</v>
      </c>
      <c r="B28" s="385" t="s">
        <v>176</v>
      </c>
      <c r="C28" s="204">
        <v>1470931</v>
      </c>
      <c r="D28" s="204">
        <v>718190</v>
      </c>
      <c r="E28" s="314"/>
    </row>
    <row r="29" spans="1:5" ht="12.75">
      <c r="A29" s="699">
        <v>21</v>
      </c>
      <c r="B29" s="385" t="s">
        <v>177</v>
      </c>
      <c r="C29" s="204"/>
      <c r="D29" s="204"/>
      <c r="E29" s="314"/>
    </row>
    <row r="30" spans="1:5" ht="12.75">
      <c r="A30" s="699">
        <v>22</v>
      </c>
      <c r="B30" s="385" t="s">
        <v>178</v>
      </c>
      <c r="C30" s="204"/>
      <c r="D30" s="204"/>
      <c r="E30" s="314">
        <v>121520</v>
      </c>
    </row>
    <row r="31" spans="1:5" ht="13.5">
      <c r="A31" s="699">
        <v>23</v>
      </c>
      <c r="B31" s="704" t="s">
        <v>179</v>
      </c>
      <c r="C31" s="357">
        <f>SUM(C27+C28+C30)</f>
        <v>7150544</v>
      </c>
      <c r="D31" s="357">
        <f>SUM(D27+D28+D30)</f>
        <v>8280850</v>
      </c>
      <c r="E31" s="554">
        <f>SUM(E27+E28+E30)</f>
        <v>5883898</v>
      </c>
    </row>
    <row r="32" spans="1:5" ht="12.75">
      <c r="A32" s="699">
        <v>24</v>
      </c>
      <c r="B32" s="385" t="s">
        <v>180</v>
      </c>
      <c r="C32" s="204">
        <v>420244</v>
      </c>
      <c r="D32" s="204">
        <v>529335</v>
      </c>
      <c r="E32" s="314">
        <v>559062</v>
      </c>
    </row>
    <row r="33" spans="1:5" ht="12.75">
      <c r="A33" s="699">
        <v>25</v>
      </c>
      <c r="B33" s="385" t="s">
        <v>181</v>
      </c>
      <c r="C33" s="204">
        <v>1982942</v>
      </c>
      <c r="D33" s="204">
        <v>1990862</v>
      </c>
      <c r="E33" s="314">
        <v>2011257</v>
      </c>
    </row>
    <row r="34" spans="1:5" ht="12.75">
      <c r="A34" s="699">
        <v>26</v>
      </c>
      <c r="B34" s="385" t="s">
        <v>182</v>
      </c>
      <c r="C34" s="204">
        <v>903539</v>
      </c>
      <c r="D34" s="204">
        <v>907948</v>
      </c>
      <c r="E34" s="314">
        <v>908604</v>
      </c>
    </row>
    <row r="35" spans="1:5" ht="12.75">
      <c r="A35" s="705">
        <v>27</v>
      </c>
      <c r="B35" s="706" t="s">
        <v>801</v>
      </c>
      <c r="C35" s="204"/>
      <c r="D35" s="204">
        <v>14139</v>
      </c>
      <c r="E35" s="314">
        <v>14316</v>
      </c>
    </row>
    <row r="36" spans="1:9" ht="12.75">
      <c r="A36" s="699">
        <v>28</v>
      </c>
      <c r="B36" s="385" t="s">
        <v>802</v>
      </c>
      <c r="C36" s="204">
        <v>343631</v>
      </c>
      <c r="D36" s="204">
        <v>299245</v>
      </c>
      <c r="E36" s="314">
        <v>195917</v>
      </c>
      <c r="F36" s="707"/>
      <c r="G36" s="707"/>
      <c r="H36" s="707"/>
      <c r="I36" s="707"/>
    </row>
    <row r="37" spans="1:5" ht="12.75">
      <c r="A37" s="699">
        <v>29</v>
      </c>
      <c r="B37" s="385" t="s">
        <v>803</v>
      </c>
      <c r="C37" s="204">
        <v>49631</v>
      </c>
      <c r="D37" s="204">
        <v>11631</v>
      </c>
      <c r="E37" s="314">
        <v>9408</v>
      </c>
    </row>
    <row r="38" spans="1:5" ht="12.75">
      <c r="A38" s="699">
        <v>30</v>
      </c>
      <c r="B38" s="385" t="s">
        <v>804</v>
      </c>
      <c r="C38" s="204">
        <v>20000</v>
      </c>
      <c r="D38" s="204">
        <v>320593</v>
      </c>
      <c r="E38" s="314">
        <v>301344</v>
      </c>
    </row>
    <row r="39" spans="1:5" ht="12.75">
      <c r="A39" s="699">
        <v>31</v>
      </c>
      <c r="B39" s="385" t="s">
        <v>805</v>
      </c>
      <c r="C39" s="204">
        <v>11720</v>
      </c>
      <c r="D39" s="204">
        <v>20820</v>
      </c>
      <c r="E39" s="314">
        <v>19334</v>
      </c>
    </row>
    <row r="40" spans="1:5" ht="12.75">
      <c r="A40" s="699">
        <v>32</v>
      </c>
      <c r="B40" s="385" t="s">
        <v>806</v>
      </c>
      <c r="C40" s="204">
        <v>1116468</v>
      </c>
      <c r="D40" s="204">
        <v>1200033</v>
      </c>
      <c r="E40" s="314">
        <v>1200033</v>
      </c>
    </row>
    <row r="41" spans="1:5" ht="12.75">
      <c r="A41" s="699">
        <v>33</v>
      </c>
      <c r="B41" s="385" t="s">
        <v>807</v>
      </c>
      <c r="C41" s="204">
        <v>1116468</v>
      </c>
      <c r="D41" s="204">
        <v>1200033</v>
      </c>
      <c r="E41" s="314">
        <v>1200033</v>
      </c>
    </row>
    <row r="42" spans="1:5" ht="12.75">
      <c r="A42" s="699">
        <v>34</v>
      </c>
      <c r="B42" s="385" t="s">
        <v>808</v>
      </c>
      <c r="C42" s="204">
        <v>11000</v>
      </c>
      <c r="D42" s="204">
        <v>484374</v>
      </c>
      <c r="E42" s="314">
        <v>482408</v>
      </c>
    </row>
    <row r="43" spans="1:5" ht="12.75">
      <c r="A43" s="699">
        <v>35</v>
      </c>
      <c r="B43" s="385" t="s">
        <v>809</v>
      </c>
      <c r="C43" s="204">
        <v>41000</v>
      </c>
      <c r="D43" s="204">
        <v>43000</v>
      </c>
      <c r="E43" s="314">
        <v>43000</v>
      </c>
    </row>
    <row r="44" spans="1:5" ht="25.5">
      <c r="A44" s="708">
        <v>36</v>
      </c>
      <c r="B44" s="316" t="s">
        <v>810</v>
      </c>
      <c r="C44" s="209">
        <f>SUM(C32+C33+C34+C35+C36+C38+C39+C40+C42+C43)</f>
        <v>4850544</v>
      </c>
      <c r="D44" s="209">
        <f>SUM(D32+D33+D34+D35+D36+D38+D39+D40+D42+D43)</f>
        <v>5810349</v>
      </c>
      <c r="E44" s="247">
        <f>SUM(E32+E33+E34+E35+E36+E38+E39+E40+E42+E43)</f>
        <v>5735275</v>
      </c>
    </row>
    <row r="45" spans="1:5" ht="12.75">
      <c r="A45" s="699">
        <v>37</v>
      </c>
      <c r="B45" s="385" t="s">
        <v>811</v>
      </c>
      <c r="C45" s="204"/>
      <c r="D45" s="204"/>
      <c r="E45" s="314"/>
    </row>
    <row r="46" spans="1:5" ht="12.75">
      <c r="A46" s="699">
        <v>38</v>
      </c>
      <c r="B46" s="385" t="s">
        <v>812</v>
      </c>
      <c r="C46" s="204"/>
      <c r="D46" s="204"/>
      <c r="E46" s="314"/>
    </row>
    <row r="47" spans="1:5" ht="12.75">
      <c r="A47" s="699">
        <v>39</v>
      </c>
      <c r="B47" s="385" t="s">
        <v>813</v>
      </c>
      <c r="C47" s="204">
        <v>2200000</v>
      </c>
      <c r="D47" s="204">
        <v>2300000</v>
      </c>
      <c r="E47" s="314">
        <v>1578150</v>
      </c>
    </row>
    <row r="48" spans="1:5" ht="12.75">
      <c r="A48" s="699">
        <v>40</v>
      </c>
      <c r="B48" s="385" t="s">
        <v>814</v>
      </c>
      <c r="C48" s="204"/>
      <c r="D48" s="204"/>
      <c r="E48" s="314">
        <v>729569</v>
      </c>
    </row>
    <row r="49" spans="1:5" ht="12.75">
      <c r="A49" s="700">
        <v>41</v>
      </c>
      <c r="B49" s="701" t="s">
        <v>815</v>
      </c>
      <c r="C49" s="209">
        <f>SUM(C45:C48)</f>
        <v>2200000</v>
      </c>
      <c r="D49" s="209">
        <f>SUM(D45:D48)</f>
        <v>2300000</v>
      </c>
      <c r="E49" s="247">
        <f>SUM(E45:E48)</f>
        <v>2307719</v>
      </c>
    </row>
    <row r="50" spans="1:5" ht="13.5">
      <c r="A50" s="700">
        <v>42</v>
      </c>
      <c r="B50" s="704" t="s">
        <v>816</v>
      </c>
      <c r="C50" s="357">
        <f>SUM(C44+C49)</f>
        <v>7050544</v>
      </c>
      <c r="D50" s="357">
        <f>SUM(D44+D49)</f>
        <v>8110349</v>
      </c>
      <c r="E50" s="554">
        <f>SUM(E44+E49)</f>
        <v>8042994</v>
      </c>
    </row>
    <row r="51" spans="1:5" ht="12.75">
      <c r="A51" s="699">
        <v>43</v>
      </c>
      <c r="B51" s="385" t="s">
        <v>817</v>
      </c>
      <c r="C51" s="204">
        <v>100000</v>
      </c>
      <c r="D51" s="204">
        <v>170501</v>
      </c>
      <c r="E51" s="314">
        <v>181866</v>
      </c>
    </row>
    <row r="52" spans="1:5" ht="12.75">
      <c r="A52" s="699">
        <v>44</v>
      </c>
      <c r="B52" s="385" t="s">
        <v>818</v>
      </c>
      <c r="C52" s="204"/>
      <c r="D52" s="204"/>
      <c r="E52" s="314"/>
    </row>
    <row r="53" spans="1:5" ht="12.75">
      <c r="A53" s="699">
        <v>45</v>
      </c>
      <c r="B53" s="385" t="s">
        <v>819</v>
      </c>
      <c r="C53" s="204"/>
      <c r="D53" s="204"/>
      <c r="E53" s="314">
        <v>-92795</v>
      </c>
    </row>
    <row r="54" spans="1:5" ht="13.5">
      <c r="A54" s="709">
        <v>46</v>
      </c>
      <c r="B54" s="710" t="s">
        <v>820</v>
      </c>
      <c r="C54" s="711">
        <f>SUM(C50:C53)</f>
        <v>7150544</v>
      </c>
      <c r="D54" s="711">
        <f>SUM(D50:D53)</f>
        <v>8280850</v>
      </c>
      <c r="E54" s="712">
        <f>SUM(E50:E53)</f>
        <v>8132065</v>
      </c>
    </row>
    <row r="55" spans="1:5" ht="12.75">
      <c r="A55" s="700">
        <v>47</v>
      </c>
      <c r="B55" s="701" t="s">
        <v>821</v>
      </c>
      <c r="C55" s="209">
        <f>SUM(C44+C51-C21-C28)</f>
        <v>-2182027</v>
      </c>
      <c r="D55" s="209">
        <f>SUM(D44+D51-D21-D28)</f>
        <v>-2285388</v>
      </c>
      <c r="E55" s="247">
        <f>SUM(E44+E51-E21-E28)</f>
        <v>169062</v>
      </c>
    </row>
    <row r="56" spans="1:5" ht="12.75">
      <c r="A56" s="700">
        <v>48</v>
      </c>
      <c r="B56" s="701" t="s">
        <v>822</v>
      </c>
      <c r="C56" s="209">
        <f>SUM(C49-C26)</f>
        <v>2182027</v>
      </c>
      <c r="D56" s="209">
        <f>SUM(D49-D26)</f>
        <v>2285388</v>
      </c>
      <c r="E56" s="247">
        <f>SUM(E49-E26)</f>
        <v>2293420</v>
      </c>
    </row>
    <row r="57" spans="1:5" ht="12.75">
      <c r="A57" s="709">
        <v>49</v>
      </c>
      <c r="B57" s="713" t="s">
        <v>823</v>
      </c>
      <c r="C57" s="212">
        <f aca="true" t="shared" si="0" ref="C57:E58">SUM(C52-C29)</f>
        <v>0</v>
      </c>
      <c r="D57" s="212">
        <f t="shared" si="0"/>
        <v>0</v>
      </c>
      <c r="E57" s="663">
        <f t="shared" si="0"/>
        <v>0</v>
      </c>
    </row>
    <row r="58" spans="1:5" ht="13.5" thickBot="1">
      <c r="A58" s="714">
        <v>50</v>
      </c>
      <c r="B58" s="715" t="s">
        <v>824</v>
      </c>
      <c r="C58" s="215">
        <f t="shared" si="0"/>
        <v>0</v>
      </c>
      <c r="D58" s="215">
        <f t="shared" si="0"/>
        <v>0</v>
      </c>
      <c r="E58" s="658">
        <f t="shared" si="0"/>
        <v>-214315</v>
      </c>
    </row>
    <row r="59" ht="13.5" thickTop="1"/>
  </sheetData>
  <mergeCells count="3">
    <mergeCell ref="A3:E3"/>
    <mergeCell ref="A4:E4"/>
    <mergeCell ref="C8:D8"/>
  </mergeCells>
  <printOptions/>
  <pageMargins left="0.71" right="0.67" top="0.73" bottom="0.56" header="0.5" footer="0.5"/>
  <pageSetup horizontalDpi="600" verticalDpi="600" orientation="portrait" paperSize="9" r:id="rId1"/>
  <headerFooter alignWithMargins="0">
    <oddHeader>&amp;L19. sz.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4" sqref="A4:H4"/>
    </sheetView>
  </sheetViews>
  <sheetFormatPr defaultColWidth="9.00390625" defaultRowHeight="12.75"/>
  <cols>
    <col min="1" max="1" width="7.00390625" style="0" customWidth="1"/>
    <col min="2" max="2" width="41.75390625" style="0" customWidth="1"/>
    <col min="3" max="3" width="13.375" style="0" customWidth="1"/>
    <col min="4" max="4" width="10.625" style="0" customWidth="1"/>
    <col min="5" max="5" width="15.625" style="0" customWidth="1"/>
    <col min="6" max="6" width="14.25390625" style="0" customWidth="1"/>
    <col min="7" max="7" width="10.875" style="0" customWidth="1"/>
    <col min="8" max="8" width="18.625" style="0" customWidth="1"/>
  </cols>
  <sheetData>
    <row r="1" spans="1:8" ht="12.75">
      <c r="A1" s="1265"/>
      <c r="B1" s="1066"/>
      <c r="C1" s="716"/>
      <c r="D1" s="716"/>
      <c r="E1" s="716"/>
      <c r="F1" s="716"/>
      <c r="G1" s="716"/>
      <c r="H1" s="716"/>
    </row>
    <row r="2" spans="1:8" ht="12.75">
      <c r="A2" s="4"/>
      <c r="B2" s="4"/>
      <c r="C2" s="716"/>
      <c r="D2" s="716"/>
      <c r="E2" s="716"/>
      <c r="F2" s="716"/>
      <c r="G2" s="716"/>
      <c r="H2" s="716"/>
    </row>
    <row r="3" spans="1:8" ht="13.5">
      <c r="A3" s="1261" t="s">
        <v>825</v>
      </c>
      <c r="B3" s="1066"/>
      <c r="C3" s="1066"/>
      <c r="D3" s="1066"/>
      <c r="E3" s="1066"/>
      <c r="F3" s="1066"/>
      <c r="G3" s="1066"/>
      <c r="H3" s="1066"/>
    </row>
    <row r="4" spans="1:8" ht="13.5">
      <c r="A4" s="1261" t="s">
        <v>23</v>
      </c>
      <c r="B4" s="1066"/>
      <c r="C4" s="1066"/>
      <c r="D4" s="1066"/>
      <c r="E4" s="1066"/>
      <c r="F4" s="1066"/>
      <c r="G4" s="1066"/>
      <c r="H4" s="1066"/>
    </row>
    <row r="5" spans="1:8" ht="13.5">
      <c r="A5" s="666"/>
      <c r="B5" s="194"/>
      <c r="C5" s="194"/>
      <c r="D5" s="194"/>
      <c r="E5" s="194"/>
      <c r="F5" s="194"/>
      <c r="G5" s="194"/>
      <c r="H5" s="194"/>
    </row>
    <row r="6" spans="1:8" ht="13.5">
      <c r="A6" s="666"/>
      <c r="B6" s="194"/>
      <c r="C6" s="194"/>
      <c r="D6" s="194"/>
      <c r="E6" s="194"/>
      <c r="F6" s="194"/>
      <c r="G6" s="194"/>
      <c r="H6" s="194"/>
    </row>
    <row r="7" spans="1:8" ht="14.25" thickBot="1">
      <c r="A7" s="4"/>
      <c r="B7" s="717"/>
      <c r="C7" s="718"/>
      <c r="D7" s="670"/>
      <c r="E7" s="670"/>
      <c r="F7" s="670"/>
      <c r="G7" s="718"/>
      <c r="H7" s="719" t="s">
        <v>453</v>
      </c>
    </row>
    <row r="8" spans="1:8" ht="42.75" customHeight="1" thickTop="1">
      <c r="A8" s="43"/>
      <c r="B8" s="308" t="s">
        <v>1334</v>
      </c>
      <c r="C8" s="720" t="s">
        <v>116</v>
      </c>
      <c r="D8" s="720" t="s">
        <v>826</v>
      </c>
      <c r="E8" s="720" t="s">
        <v>827</v>
      </c>
      <c r="F8" s="720" t="s">
        <v>828</v>
      </c>
      <c r="G8" s="720" t="s">
        <v>829</v>
      </c>
      <c r="H8" s="721" t="s">
        <v>830</v>
      </c>
    </row>
    <row r="9" spans="1:8" ht="12.75" customHeight="1">
      <c r="A9" s="198" t="s">
        <v>1525</v>
      </c>
      <c r="B9" s="722" t="s">
        <v>457</v>
      </c>
      <c r="C9" s="830">
        <v>271381</v>
      </c>
      <c r="D9" s="61"/>
      <c r="E9" s="830">
        <v>271381</v>
      </c>
      <c r="F9" s="61">
        <v>2337682</v>
      </c>
      <c r="G9" s="61"/>
      <c r="H9" s="723">
        <v>2337682</v>
      </c>
    </row>
    <row r="10" spans="1:8" ht="12.75" customHeight="1">
      <c r="A10" s="198" t="s">
        <v>1526</v>
      </c>
      <c r="B10" s="722" t="s">
        <v>1212</v>
      </c>
      <c r="C10" s="830"/>
      <c r="D10" s="61"/>
      <c r="E10" s="830"/>
      <c r="F10" s="61"/>
      <c r="G10" s="61"/>
      <c r="H10" s="723"/>
    </row>
    <row r="11" spans="1:8" ht="12.75" customHeight="1">
      <c r="A11" s="198" t="s">
        <v>1528</v>
      </c>
      <c r="B11" s="724" t="s">
        <v>831</v>
      </c>
      <c r="C11" s="830">
        <v>-103623</v>
      </c>
      <c r="D11" s="61"/>
      <c r="E11" s="830">
        <v>-103623</v>
      </c>
      <c r="F11" s="61">
        <v>110692</v>
      </c>
      <c r="G11" s="61"/>
      <c r="H11" s="723">
        <v>110692</v>
      </c>
    </row>
    <row r="12" spans="1:8" ht="12.75" customHeight="1">
      <c r="A12" s="198" t="s">
        <v>1529</v>
      </c>
      <c r="B12" s="725" t="s">
        <v>832</v>
      </c>
      <c r="C12" s="830"/>
      <c r="D12" s="61"/>
      <c r="E12" s="61"/>
      <c r="F12" s="61"/>
      <c r="G12" s="61"/>
      <c r="H12" s="723"/>
    </row>
    <row r="13" spans="1:8" ht="12.75" customHeight="1">
      <c r="A13" s="198" t="s">
        <v>1530</v>
      </c>
      <c r="B13" s="725" t="s">
        <v>833</v>
      </c>
      <c r="C13" s="830"/>
      <c r="D13" s="61"/>
      <c r="E13" s="61"/>
      <c r="F13" s="61"/>
      <c r="G13" s="61"/>
      <c r="H13" s="723"/>
    </row>
    <row r="14" spans="1:8" ht="12.75" customHeight="1">
      <c r="A14" s="198" t="s">
        <v>1531</v>
      </c>
      <c r="B14" s="726" t="s">
        <v>1213</v>
      </c>
      <c r="C14" s="831">
        <f aca="true" t="shared" si="0" ref="C14:H14">SUM(C9+C10+C11-C12-C13)</f>
        <v>167758</v>
      </c>
      <c r="D14" s="48">
        <f t="shared" si="0"/>
        <v>0</v>
      </c>
      <c r="E14" s="48">
        <f t="shared" si="0"/>
        <v>167758</v>
      </c>
      <c r="F14" s="48">
        <f t="shared" si="0"/>
        <v>2448374</v>
      </c>
      <c r="G14" s="48">
        <f t="shared" si="0"/>
        <v>0</v>
      </c>
      <c r="H14" s="727">
        <f t="shared" si="0"/>
        <v>2448374</v>
      </c>
    </row>
    <row r="15" spans="1:8" ht="12.75" customHeight="1">
      <c r="A15" s="198" t="s">
        <v>1532</v>
      </c>
      <c r="B15" s="725" t="s">
        <v>834</v>
      </c>
      <c r="C15" s="830">
        <v>2743</v>
      </c>
      <c r="D15" s="61"/>
      <c r="E15" s="61">
        <v>2743</v>
      </c>
      <c r="F15" s="61">
        <v>-2167</v>
      </c>
      <c r="G15" s="61"/>
      <c r="H15" s="723">
        <v>-2167</v>
      </c>
    </row>
    <row r="16" spans="1:8" ht="12.75" customHeight="1">
      <c r="A16" s="198" t="s">
        <v>1533</v>
      </c>
      <c r="B16" s="725" t="s">
        <v>835</v>
      </c>
      <c r="C16" s="830"/>
      <c r="D16" s="61"/>
      <c r="E16" s="61"/>
      <c r="F16" s="61"/>
      <c r="G16" s="61"/>
      <c r="H16" s="723"/>
    </row>
    <row r="17" spans="1:8" ht="24" customHeight="1">
      <c r="A17" s="198" t="s">
        <v>1534</v>
      </c>
      <c r="B17" s="724" t="s">
        <v>836</v>
      </c>
      <c r="C17" s="830"/>
      <c r="D17" s="61"/>
      <c r="E17" s="61"/>
      <c r="F17" s="61"/>
      <c r="G17" s="61"/>
      <c r="H17" s="723"/>
    </row>
    <row r="18" spans="1:8" ht="25.5">
      <c r="A18" s="198" t="s">
        <v>1535</v>
      </c>
      <c r="B18" s="724" t="s">
        <v>837</v>
      </c>
      <c r="C18" s="830"/>
      <c r="D18" s="61"/>
      <c r="E18" s="61"/>
      <c r="F18" s="61"/>
      <c r="G18" s="61"/>
      <c r="H18" s="723"/>
    </row>
    <row r="19" spans="1:8" ht="12.75">
      <c r="A19" s="198" t="s">
        <v>1536</v>
      </c>
      <c r="B19" s="728" t="s">
        <v>838</v>
      </c>
      <c r="C19" s="831">
        <f>SUM(C14:C18)</f>
        <v>170501</v>
      </c>
      <c r="D19" s="48"/>
      <c r="E19" s="48">
        <f>SUM(E14:E18)</f>
        <v>170501</v>
      </c>
      <c r="F19" s="48">
        <f>SUM(F14:F18)</f>
        <v>2446207</v>
      </c>
      <c r="G19" s="48"/>
      <c r="H19" s="727">
        <f>SUM(H14:H18)</f>
        <v>2446207</v>
      </c>
    </row>
    <row r="20" spans="1:8" ht="25.5">
      <c r="A20" s="198" t="s">
        <v>1537</v>
      </c>
      <c r="B20" s="724" t="s">
        <v>839</v>
      </c>
      <c r="C20" s="830"/>
      <c r="D20" s="61"/>
      <c r="E20" s="61"/>
      <c r="F20" s="61"/>
      <c r="G20" s="61"/>
      <c r="H20" s="723"/>
    </row>
    <row r="21" spans="1:8" ht="12.75" customHeight="1">
      <c r="A21" s="729" t="s">
        <v>1538</v>
      </c>
      <c r="B21" s="730" t="s">
        <v>840</v>
      </c>
      <c r="C21" s="832">
        <v>87308</v>
      </c>
      <c r="D21" s="204"/>
      <c r="E21" s="832">
        <v>87308</v>
      </c>
      <c r="F21" s="204">
        <v>2446207</v>
      </c>
      <c r="G21" s="204"/>
      <c r="H21" s="314">
        <v>2446207</v>
      </c>
    </row>
    <row r="22" spans="1:8" ht="13.5" customHeight="1" thickBot="1">
      <c r="A22" s="731" t="s">
        <v>1539</v>
      </c>
      <c r="B22" s="732" t="s">
        <v>841</v>
      </c>
      <c r="C22" s="833">
        <v>83193</v>
      </c>
      <c r="D22" s="687"/>
      <c r="E22" s="833">
        <v>83193</v>
      </c>
      <c r="F22" s="687"/>
      <c r="G22" s="687"/>
      <c r="H22" s="681"/>
    </row>
    <row r="23" ht="13.5" thickTop="1"/>
  </sheetData>
  <mergeCells count="3">
    <mergeCell ref="A1:B1"/>
    <mergeCell ref="A3:H3"/>
    <mergeCell ref="A4:H4"/>
  </mergeCells>
  <printOptions/>
  <pageMargins left="0.71" right="0.75" top="1" bottom="1" header="0.5" footer="0.5"/>
  <pageSetup horizontalDpi="600" verticalDpi="600" orientation="landscape" paperSize="9" r:id="rId1"/>
  <headerFooter alignWithMargins="0">
    <oddHeader>&amp;L20. sz.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3:M33"/>
  <sheetViews>
    <sheetView workbookViewId="0" topLeftCell="A1">
      <selection activeCell="A35" sqref="A35"/>
    </sheetView>
  </sheetViews>
  <sheetFormatPr defaultColWidth="9.00390625" defaultRowHeight="12.75"/>
  <cols>
    <col min="1" max="1" width="38.25390625" style="190" customWidth="1"/>
    <col min="2" max="2" width="11.875" style="975" customWidth="1"/>
    <col min="3" max="3" width="10.75390625" style="190" customWidth="1"/>
    <col min="4" max="4" width="11.00390625" style="190" customWidth="1"/>
    <col min="5" max="10" width="9.875" style="190" customWidth="1"/>
    <col min="11" max="11" width="14.00390625" style="190" customWidth="1"/>
    <col min="12" max="12" width="13.875" style="976" customWidth="1"/>
    <col min="13" max="16384" width="9.125" style="190" customWidth="1"/>
  </cols>
  <sheetData>
    <row r="3" spans="1:12" ht="14.25">
      <c r="A3" s="1184" t="s">
        <v>1187</v>
      </c>
      <c r="B3" s="1184"/>
      <c r="C3" s="1184"/>
      <c r="D3" s="1184"/>
      <c r="E3" s="1184"/>
      <c r="F3" s="1184"/>
      <c r="G3" s="1184"/>
      <c r="H3" s="1184"/>
      <c r="I3" s="1184"/>
      <c r="J3" s="1184"/>
      <c r="K3" s="1066"/>
      <c r="L3" s="1066"/>
    </row>
    <row r="5" ht="13.5" thickBot="1">
      <c r="J5" s="733" t="s">
        <v>453</v>
      </c>
    </row>
    <row r="6" spans="1:12" ht="15.75" customHeight="1" thickTop="1">
      <c r="A6" s="1286" t="s">
        <v>842</v>
      </c>
      <c r="B6" s="1289" t="s">
        <v>843</v>
      </c>
      <c r="C6" s="1292" t="s">
        <v>844</v>
      </c>
      <c r="D6" s="1292" t="s">
        <v>845</v>
      </c>
      <c r="E6" s="1268" t="s">
        <v>846</v>
      </c>
      <c r="F6" s="1268"/>
      <c r="G6" s="1268" t="s">
        <v>847</v>
      </c>
      <c r="H6" s="1269"/>
      <c r="I6" s="1268" t="s">
        <v>848</v>
      </c>
      <c r="J6" s="1271"/>
      <c r="K6" s="1278" t="s">
        <v>734</v>
      </c>
      <c r="L6" s="1280" t="s">
        <v>735</v>
      </c>
    </row>
    <row r="7" spans="1:12" ht="12.75">
      <c r="A7" s="1287"/>
      <c r="B7" s="1290"/>
      <c r="C7" s="1293"/>
      <c r="D7" s="1293"/>
      <c r="E7" s="1295"/>
      <c r="F7" s="1295"/>
      <c r="G7" s="1270"/>
      <c r="H7" s="1270"/>
      <c r="I7" s="1270"/>
      <c r="J7" s="1272"/>
      <c r="K7" s="1279"/>
      <c r="L7" s="1281"/>
    </row>
    <row r="8" spans="1:12" ht="12.75">
      <c r="A8" s="1287"/>
      <c r="B8" s="1290"/>
      <c r="C8" s="1293"/>
      <c r="D8" s="1293"/>
      <c r="E8" s="1273" t="s">
        <v>849</v>
      </c>
      <c r="F8" s="1273" t="s">
        <v>850</v>
      </c>
      <c r="G8" s="1273" t="s">
        <v>849</v>
      </c>
      <c r="H8" s="1273" t="s">
        <v>850</v>
      </c>
      <c r="I8" s="1273" t="s">
        <v>849</v>
      </c>
      <c r="J8" s="1276" t="s">
        <v>850</v>
      </c>
      <c r="K8" s="1282" t="s">
        <v>736</v>
      </c>
      <c r="L8" s="1284" t="s">
        <v>736</v>
      </c>
    </row>
    <row r="9" spans="1:12" ht="13.5" thickBot="1">
      <c r="A9" s="1288"/>
      <c r="B9" s="1291"/>
      <c r="C9" s="1294"/>
      <c r="D9" s="1294"/>
      <c r="E9" s="1274"/>
      <c r="F9" s="1274"/>
      <c r="G9" s="1274"/>
      <c r="H9" s="1274"/>
      <c r="I9" s="1275"/>
      <c r="J9" s="1277"/>
      <c r="K9" s="1283"/>
      <c r="L9" s="1285"/>
    </row>
    <row r="10" spans="1:13" ht="13.5" thickTop="1">
      <c r="A10" s="734" t="s">
        <v>996</v>
      </c>
      <c r="B10" s="735">
        <v>124</v>
      </c>
      <c r="C10" s="735">
        <v>67014</v>
      </c>
      <c r="D10" s="736">
        <f>C10/B10</f>
        <v>540.4354838709677</v>
      </c>
      <c r="E10" s="735">
        <v>9434</v>
      </c>
      <c r="F10" s="737">
        <v>14</v>
      </c>
      <c r="G10" s="735">
        <v>28954</v>
      </c>
      <c r="H10" s="737">
        <v>43.2</v>
      </c>
      <c r="I10" s="738">
        <f>C10-E10-G10</f>
        <v>28626</v>
      </c>
      <c r="J10" s="977">
        <v>42.8</v>
      </c>
      <c r="K10" s="978">
        <f>G10/B10</f>
        <v>233.5</v>
      </c>
      <c r="L10" s="979">
        <f>I10/B10</f>
        <v>230.8548387096774</v>
      </c>
      <c r="M10" s="193"/>
    </row>
    <row r="11" spans="1:13" ht="12.75">
      <c r="A11" s="739" t="s">
        <v>997</v>
      </c>
      <c r="B11" s="244">
        <v>92</v>
      </c>
      <c r="C11" s="244">
        <v>42909</v>
      </c>
      <c r="D11" s="736">
        <f aca="true" t="shared" si="0" ref="D11:D18">C11/B11</f>
        <v>466.4021739130435</v>
      </c>
      <c r="E11" s="244">
        <v>4150</v>
      </c>
      <c r="F11" s="737">
        <v>9.6</v>
      </c>
      <c r="G11" s="244">
        <v>22709</v>
      </c>
      <c r="H11" s="737">
        <v>52.9</v>
      </c>
      <c r="I11" s="244">
        <f aca="true" t="shared" si="1" ref="I11:I28">C11-E11-G11</f>
        <v>16050</v>
      </c>
      <c r="J11" s="977">
        <v>37.5</v>
      </c>
      <c r="K11" s="745">
        <f aca="true" t="shared" si="2" ref="K11:K28">G11/B11</f>
        <v>246.83695652173913</v>
      </c>
      <c r="L11" s="980">
        <f aca="true" t="shared" si="3" ref="L11:L28">I11/B11</f>
        <v>174.45652173913044</v>
      </c>
      <c r="M11" s="193"/>
    </row>
    <row r="12" spans="1:13" ht="12.75">
      <c r="A12" s="739" t="s">
        <v>1065</v>
      </c>
      <c r="B12" s="244">
        <v>46</v>
      </c>
      <c r="C12" s="244">
        <v>27105</v>
      </c>
      <c r="D12" s="736">
        <f t="shared" si="0"/>
        <v>589.2391304347826</v>
      </c>
      <c r="E12" s="244">
        <v>2815</v>
      </c>
      <c r="F12" s="737">
        <v>10.3</v>
      </c>
      <c r="G12" s="244">
        <v>11503</v>
      </c>
      <c r="H12" s="737">
        <v>42.4</v>
      </c>
      <c r="I12" s="244">
        <f t="shared" si="1"/>
        <v>12787</v>
      </c>
      <c r="J12" s="977">
        <v>47.3</v>
      </c>
      <c r="K12" s="745">
        <f t="shared" si="2"/>
        <v>250.06521739130434</v>
      </c>
      <c r="L12" s="980">
        <f t="shared" si="3"/>
        <v>277.9782608695652</v>
      </c>
      <c r="M12" s="193"/>
    </row>
    <row r="13" spans="1:13" ht="12.75">
      <c r="A13" s="739" t="s">
        <v>998</v>
      </c>
      <c r="B13" s="244">
        <v>66</v>
      </c>
      <c r="C13" s="244">
        <v>35661</v>
      </c>
      <c r="D13" s="736">
        <f t="shared" si="0"/>
        <v>540.3181818181819</v>
      </c>
      <c r="E13" s="244">
        <v>4946</v>
      </c>
      <c r="F13" s="737">
        <v>13.8</v>
      </c>
      <c r="G13" s="244">
        <v>16898</v>
      </c>
      <c r="H13" s="737">
        <v>47.3</v>
      </c>
      <c r="I13" s="244">
        <f t="shared" si="1"/>
        <v>13817</v>
      </c>
      <c r="J13" s="977">
        <v>38.9</v>
      </c>
      <c r="K13" s="745">
        <f t="shared" si="2"/>
        <v>256.030303030303</v>
      </c>
      <c r="L13" s="980">
        <f t="shared" si="3"/>
        <v>209.34848484848484</v>
      </c>
      <c r="M13" s="193"/>
    </row>
    <row r="14" spans="1:13" ht="12.75">
      <c r="A14" s="739" t="s">
        <v>999</v>
      </c>
      <c r="B14" s="244">
        <v>97</v>
      </c>
      <c r="C14" s="244">
        <v>56180</v>
      </c>
      <c r="D14" s="736">
        <f t="shared" si="0"/>
        <v>579.1752577319587</v>
      </c>
      <c r="E14" s="244">
        <v>7605</v>
      </c>
      <c r="F14" s="737">
        <v>13.5</v>
      </c>
      <c r="G14" s="244">
        <v>23330</v>
      </c>
      <c r="H14" s="737">
        <v>41.5</v>
      </c>
      <c r="I14" s="244">
        <f t="shared" si="1"/>
        <v>25245</v>
      </c>
      <c r="J14" s="977">
        <v>45</v>
      </c>
      <c r="K14" s="745">
        <f t="shared" si="2"/>
        <v>240.51546391752578</v>
      </c>
      <c r="L14" s="980">
        <f t="shared" si="3"/>
        <v>260.25773195876286</v>
      </c>
      <c r="M14" s="193"/>
    </row>
    <row r="15" spans="1:13" ht="12.75">
      <c r="A15" s="739" t="s">
        <v>851</v>
      </c>
      <c r="B15" s="244">
        <v>54</v>
      </c>
      <c r="C15" s="244">
        <v>29675</v>
      </c>
      <c r="D15" s="736">
        <f t="shared" si="0"/>
        <v>549.5370370370371</v>
      </c>
      <c r="E15" s="244">
        <v>3832</v>
      </c>
      <c r="F15" s="737">
        <v>12.9</v>
      </c>
      <c r="G15" s="244">
        <v>13022</v>
      </c>
      <c r="H15" s="737">
        <v>43.8</v>
      </c>
      <c r="I15" s="244">
        <f t="shared" si="1"/>
        <v>12821</v>
      </c>
      <c r="J15" s="977">
        <v>43.3</v>
      </c>
      <c r="K15" s="745">
        <f t="shared" si="2"/>
        <v>241.14814814814815</v>
      </c>
      <c r="L15" s="980">
        <f t="shared" si="3"/>
        <v>237.42592592592592</v>
      </c>
      <c r="M15" s="193"/>
    </row>
    <row r="16" spans="1:13" ht="12.75">
      <c r="A16" s="739" t="s">
        <v>1000</v>
      </c>
      <c r="B16" s="244">
        <v>68</v>
      </c>
      <c r="C16" s="244">
        <v>51731</v>
      </c>
      <c r="D16" s="736">
        <f t="shared" si="0"/>
        <v>760.75</v>
      </c>
      <c r="E16" s="244">
        <v>7600</v>
      </c>
      <c r="F16" s="737">
        <v>14.6</v>
      </c>
      <c r="G16" s="244">
        <v>16160</v>
      </c>
      <c r="H16" s="737">
        <v>31.2</v>
      </c>
      <c r="I16" s="244">
        <f t="shared" si="1"/>
        <v>27971</v>
      </c>
      <c r="J16" s="977">
        <v>54.2</v>
      </c>
      <c r="K16" s="745">
        <f t="shared" si="2"/>
        <v>237.64705882352942</v>
      </c>
      <c r="L16" s="980">
        <f t="shared" si="3"/>
        <v>411.3382352941176</v>
      </c>
      <c r="M16" s="193"/>
    </row>
    <row r="17" spans="1:13" ht="12.75">
      <c r="A17" s="739" t="s">
        <v>1066</v>
      </c>
      <c r="B17" s="244">
        <v>100</v>
      </c>
      <c r="C17" s="244">
        <v>49533</v>
      </c>
      <c r="D17" s="736">
        <f t="shared" si="0"/>
        <v>495.33</v>
      </c>
      <c r="E17" s="244">
        <v>5332</v>
      </c>
      <c r="F17" s="737">
        <v>10.7</v>
      </c>
      <c r="G17" s="244">
        <v>24608</v>
      </c>
      <c r="H17" s="737">
        <v>49.6</v>
      </c>
      <c r="I17" s="244">
        <f t="shared" si="1"/>
        <v>19593</v>
      </c>
      <c r="J17" s="977">
        <v>39.7</v>
      </c>
      <c r="K17" s="745">
        <f t="shared" si="2"/>
        <v>246.08</v>
      </c>
      <c r="L17" s="980">
        <f t="shared" si="3"/>
        <v>195.93</v>
      </c>
      <c r="M17" s="193"/>
    </row>
    <row r="18" spans="1:13" ht="12.75">
      <c r="A18" s="739" t="s">
        <v>1001</v>
      </c>
      <c r="B18" s="244">
        <v>18</v>
      </c>
      <c r="C18" s="244">
        <v>13735</v>
      </c>
      <c r="D18" s="736">
        <f t="shared" si="0"/>
        <v>763.0555555555555</v>
      </c>
      <c r="E18" s="244">
        <v>1030</v>
      </c>
      <c r="F18" s="737">
        <v>7.5</v>
      </c>
      <c r="G18" s="244">
        <v>4547</v>
      </c>
      <c r="H18" s="737">
        <v>33.1</v>
      </c>
      <c r="I18" s="244">
        <f t="shared" si="1"/>
        <v>8158</v>
      </c>
      <c r="J18" s="977">
        <v>59.4</v>
      </c>
      <c r="K18" s="745">
        <f t="shared" si="2"/>
        <v>252.61111111111111</v>
      </c>
      <c r="L18" s="980">
        <f t="shared" si="3"/>
        <v>453.22222222222223</v>
      </c>
      <c r="M18" s="193"/>
    </row>
    <row r="19" spans="1:13" ht="12.75">
      <c r="A19" s="741" t="s">
        <v>852</v>
      </c>
      <c r="B19" s="236">
        <f>SUM(B10:B18)</f>
        <v>665</v>
      </c>
      <c r="C19" s="236">
        <f>SUM(C10:C18)</f>
        <v>373543</v>
      </c>
      <c r="D19" s="742">
        <f>C19/B19</f>
        <v>561.7187969924812</v>
      </c>
      <c r="E19" s="236">
        <f>SUM(E10:E18)</f>
        <v>46744</v>
      </c>
      <c r="F19" s="743">
        <v>12.5</v>
      </c>
      <c r="G19" s="236">
        <f>SUM(G10:G18)</f>
        <v>161731</v>
      </c>
      <c r="H19" s="744">
        <v>43.2</v>
      </c>
      <c r="I19" s="268">
        <f>SUM(I10:I18)</f>
        <v>165068</v>
      </c>
      <c r="J19" s="981">
        <v>44.3</v>
      </c>
      <c r="K19" s="982">
        <f t="shared" si="2"/>
        <v>243.2045112781955</v>
      </c>
      <c r="L19" s="983">
        <f t="shared" si="3"/>
        <v>248.22255639097745</v>
      </c>
      <c r="M19" s="193"/>
    </row>
    <row r="20" spans="1:13" ht="12.75">
      <c r="A20" s="739"/>
      <c r="B20" s="244"/>
      <c r="C20" s="740"/>
      <c r="D20" s="742"/>
      <c r="E20" s="740"/>
      <c r="F20" s="743"/>
      <c r="G20" s="740"/>
      <c r="H20" s="744"/>
      <c r="I20" s="244"/>
      <c r="J20" s="981"/>
      <c r="K20" s="745"/>
      <c r="L20" s="980"/>
      <c r="M20" s="193"/>
    </row>
    <row r="21" spans="1:13" ht="12.75">
      <c r="A21" s="741" t="s">
        <v>853</v>
      </c>
      <c r="B21" s="236">
        <v>46</v>
      </c>
      <c r="C21" s="236">
        <v>69885</v>
      </c>
      <c r="D21" s="742">
        <f>C21/B21</f>
        <v>1519.2391304347825</v>
      </c>
      <c r="E21" s="236">
        <v>7196</v>
      </c>
      <c r="F21" s="743">
        <v>10.2</v>
      </c>
      <c r="G21" s="236">
        <v>24984</v>
      </c>
      <c r="H21" s="744">
        <v>35.7</v>
      </c>
      <c r="I21" s="268">
        <f t="shared" si="1"/>
        <v>37705</v>
      </c>
      <c r="J21" s="981">
        <v>54.1</v>
      </c>
      <c r="K21" s="982">
        <f t="shared" si="2"/>
        <v>543.1304347826087</v>
      </c>
      <c r="L21" s="983">
        <f t="shared" si="3"/>
        <v>819.6739130434783</v>
      </c>
      <c r="M21" s="193"/>
    </row>
    <row r="22" spans="1:13" ht="12.75">
      <c r="A22" s="739"/>
      <c r="B22" s="244"/>
      <c r="C22" s="740"/>
      <c r="D22" s="742"/>
      <c r="E22" s="740"/>
      <c r="F22" s="743"/>
      <c r="G22" s="740"/>
      <c r="H22" s="744"/>
      <c r="I22" s="244"/>
      <c r="J22" s="981"/>
      <c r="K22" s="745"/>
      <c r="L22" s="980"/>
      <c r="M22" s="193"/>
    </row>
    <row r="23" spans="1:13" ht="12.75">
      <c r="A23" s="739" t="s">
        <v>737</v>
      </c>
      <c r="B23" s="244">
        <v>815</v>
      </c>
      <c r="C23" s="244">
        <v>389702</v>
      </c>
      <c r="D23" s="745">
        <f>C23/B23</f>
        <v>478.16196319018405</v>
      </c>
      <c r="E23" s="244">
        <v>39108</v>
      </c>
      <c r="F23" s="746">
        <v>10</v>
      </c>
      <c r="G23" s="244">
        <v>180556</v>
      </c>
      <c r="H23" s="737">
        <v>46.3</v>
      </c>
      <c r="I23" s="244">
        <f t="shared" si="1"/>
        <v>170038</v>
      </c>
      <c r="J23" s="977">
        <v>43.7</v>
      </c>
      <c r="K23" s="745">
        <f t="shared" si="2"/>
        <v>221.54110429447852</v>
      </c>
      <c r="L23" s="980">
        <f t="shared" si="3"/>
        <v>208.6355828220859</v>
      </c>
      <c r="M23" s="193"/>
    </row>
    <row r="24" spans="1:13" ht="12.75">
      <c r="A24" s="739" t="s">
        <v>738</v>
      </c>
      <c r="B24" s="244">
        <v>1033</v>
      </c>
      <c r="C24" s="244">
        <v>448971</v>
      </c>
      <c r="D24" s="745">
        <f>C24/B24</f>
        <v>434.62826718296225</v>
      </c>
      <c r="E24" s="244">
        <v>41240</v>
      </c>
      <c r="F24" s="746">
        <v>9.1</v>
      </c>
      <c r="G24" s="244">
        <v>232469</v>
      </c>
      <c r="H24" s="737">
        <v>51.7</v>
      </c>
      <c r="I24" s="244">
        <f t="shared" si="1"/>
        <v>175262</v>
      </c>
      <c r="J24" s="977">
        <v>39.2</v>
      </c>
      <c r="K24" s="745">
        <f t="shared" si="2"/>
        <v>225.04259438528558</v>
      </c>
      <c r="L24" s="980">
        <f t="shared" si="3"/>
        <v>169.66311713455954</v>
      </c>
      <c r="M24" s="193"/>
    </row>
    <row r="25" spans="1:13" ht="12.75">
      <c r="A25" s="739" t="s">
        <v>739</v>
      </c>
      <c r="B25" s="244">
        <v>357</v>
      </c>
      <c r="C25" s="244">
        <v>77249</v>
      </c>
      <c r="D25" s="745">
        <f>C25/B25</f>
        <v>216.38375350140055</v>
      </c>
      <c r="E25" s="244">
        <v>5494</v>
      </c>
      <c r="F25" s="746">
        <v>7.1</v>
      </c>
      <c r="G25" s="244">
        <v>33081</v>
      </c>
      <c r="H25" s="737">
        <v>42.8</v>
      </c>
      <c r="I25" s="244">
        <f t="shared" si="1"/>
        <v>38674</v>
      </c>
      <c r="J25" s="977">
        <v>50.1</v>
      </c>
      <c r="K25" s="745">
        <f t="shared" si="2"/>
        <v>92.66386554621849</v>
      </c>
      <c r="L25" s="980">
        <f t="shared" si="3"/>
        <v>108.33053221288516</v>
      </c>
      <c r="M25" s="193"/>
    </row>
    <row r="26" spans="1:13" ht="12.75">
      <c r="A26" s="741" t="s">
        <v>854</v>
      </c>
      <c r="B26" s="236">
        <f>SUM(B23:B25)</f>
        <v>2205</v>
      </c>
      <c r="C26" s="236">
        <f>SUM(C23:C25)</f>
        <v>915922</v>
      </c>
      <c r="D26" s="745">
        <f>C26/B26</f>
        <v>415.38412698412696</v>
      </c>
      <c r="E26" s="236">
        <f>SUM(E23:E25)</f>
        <v>85842</v>
      </c>
      <c r="F26" s="743">
        <v>9.3</v>
      </c>
      <c r="G26" s="236">
        <f>SUM(G23:G25)</f>
        <v>446106</v>
      </c>
      <c r="H26" s="744">
        <v>48.7</v>
      </c>
      <c r="I26" s="268">
        <f>SUM(I23:I25)</f>
        <v>383974</v>
      </c>
      <c r="J26" s="981">
        <v>42</v>
      </c>
      <c r="K26" s="982">
        <f t="shared" si="2"/>
        <v>202.3156462585034</v>
      </c>
      <c r="L26" s="983">
        <f t="shared" si="3"/>
        <v>174.13786848072561</v>
      </c>
      <c r="M26" s="193"/>
    </row>
    <row r="27" spans="1:13" ht="12.75">
      <c r="A27" s="741"/>
      <c r="B27" s="236"/>
      <c r="C27" s="236"/>
      <c r="D27" s="742"/>
      <c r="E27" s="236"/>
      <c r="F27" s="743"/>
      <c r="G27" s="236"/>
      <c r="H27" s="744"/>
      <c r="I27" s="244"/>
      <c r="J27" s="981"/>
      <c r="K27" s="745"/>
      <c r="L27" s="980"/>
      <c r="M27" s="193"/>
    </row>
    <row r="28" spans="1:13" ht="12.75">
      <c r="A28" s="741" t="s">
        <v>855</v>
      </c>
      <c r="B28" s="236">
        <v>308</v>
      </c>
      <c r="C28" s="236">
        <v>171877</v>
      </c>
      <c r="D28" s="742">
        <f>C28/B28</f>
        <v>558.0422077922078</v>
      </c>
      <c r="E28" s="236">
        <v>39239</v>
      </c>
      <c r="F28" s="743">
        <v>22.8</v>
      </c>
      <c r="G28" s="236">
        <v>58420</v>
      </c>
      <c r="H28" s="744">
        <v>33.9</v>
      </c>
      <c r="I28" s="268">
        <f t="shared" si="1"/>
        <v>74218</v>
      </c>
      <c r="J28" s="981">
        <v>43.3</v>
      </c>
      <c r="K28" s="982">
        <f t="shared" si="2"/>
        <v>189.67532467532467</v>
      </c>
      <c r="L28" s="983">
        <f t="shared" si="3"/>
        <v>240.96753246753246</v>
      </c>
      <c r="M28" s="193"/>
    </row>
    <row r="29" spans="1:13" ht="12.75">
      <c r="A29" s="747"/>
      <c r="B29" s="984"/>
      <c r="C29" s="748"/>
      <c r="D29" s="742"/>
      <c r="E29" s="748"/>
      <c r="F29" s="743"/>
      <c r="G29" s="748"/>
      <c r="H29" s="744"/>
      <c r="I29" s="244"/>
      <c r="J29" s="981"/>
      <c r="K29" s="745"/>
      <c r="L29" s="985"/>
      <c r="M29" s="193"/>
    </row>
    <row r="30" spans="1:13" ht="14.25" thickBot="1">
      <c r="A30" s="749" t="s">
        <v>1283</v>
      </c>
      <c r="B30" s="750">
        <f>B19+B21+B26+B28</f>
        <v>3224</v>
      </c>
      <c r="C30" s="750">
        <f>C19+C21+C26+C28</f>
        <v>1531227</v>
      </c>
      <c r="D30" s="751"/>
      <c r="E30" s="750">
        <f>E19+E21+E26+E28</f>
        <v>179021</v>
      </c>
      <c r="F30" s="986">
        <v>11.7</v>
      </c>
      <c r="G30" s="750">
        <f>G19+G21+G26+G28</f>
        <v>691241</v>
      </c>
      <c r="H30" s="986">
        <v>45.1</v>
      </c>
      <c r="I30" s="300">
        <f>I19+I21+I26+I28</f>
        <v>660965</v>
      </c>
      <c r="J30" s="987">
        <v>43.2</v>
      </c>
      <c r="K30" s="988">
        <f>G30/B30</f>
        <v>214.40477667493798</v>
      </c>
      <c r="L30" s="989">
        <f>I30/B30</f>
        <v>205.01395781637717</v>
      </c>
      <c r="M30" s="193"/>
    </row>
    <row r="31" ht="13.5" thickTop="1"/>
    <row r="32" spans="1:12" ht="15">
      <c r="A32" s="191" t="s">
        <v>1434</v>
      </c>
      <c r="B32" s="990"/>
      <c r="C32" s="945"/>
      <c r="D32" s="945"/>
      <c r="E32" s="945"/>
      <c r="F32" s="945"/>
      <c r="G32" s="945"/>
      <c r="H32" s="945"/>
      <c r="I32" s="945"/>
      <c r="J32" s="945"/>
      <c r="K32" s="945"/>
      <c r="L32" s="991"/>
    </row>
    <row r="33" spans="1:12" ht="15">
      <c r="A33" s="1266" t="s">
        <v>1435</v>
      </c>
      <c r="B33" s="1267"/>
      <c r="C33" s="1267"/>
      <c r="D33" s="1267"/>
      <c r="E33" s="1267"/>
      <c r="F33" s="1267"/>
      <c r="G33" s="1267"/>
      <c r="H33" s="1267"/>
      <c r="I33" s="1267"/>
      <c r="J33" s="1267"/>
      <c r="K33" s="1267"/>
      <c r="L33" s="1267"/>
    </row>
  </sheetData>
  <mergeCells count="19">
    <mergeCell ref="A3:L3"/>
    <mergeCell ref="K6:K7"/>
    <mergeCell ref="L6:L7"/>
    <mergeCell ref="K8:K9"/>
    <mergeCell ref="L8:L9"/>
    <mergeCell ref="A6:A9"/>
    <mergeCell ref="B6:B9"/>
    <mergeCell ref="C6:C9"/>
    <mergeCell ref="D6:D9"/>
    <mergeCell ref="E6:F7"/>
    <mergeCell ref="A33:L33"/>
    <mergeCell ref="G6:H7"/>
    <mergeCell ref="I6:J7"/>
    <mergeCell ref="E8:E9"/>
    <mergeCell ref="F8:F9"/>
    <mergeCell ref="G8:G9"/>
    <mergeCell ref="H8:H9"/>
    <mergeCell ref="I8:I9"/>
    <mergeCell ref="J8:J9"/>
  </mergeCells>
  <printOptions horizontalCentered="1"/>
  <pageMargins left="0.21" right="0.3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&amp;L21. sz.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A21" sqref="A21"/>
    </sheetView>
  </sheetViews>
  <sheetFormatPr defaultColWidth="9.00390625" defaultRowHeight="12.75"/>
  <cols>
    <col min="1" max="1" width="52.625" style="190" customWidth="1"/>
    <col min="2" max="2" width="3.125" style="190" customWidth="1"/>
    <col min="3" max="16384" width="9.125" style="190" customWidth="1"/>
  </cols>
  <sheetData>
    <row r="2" spans="1:10" ht="14.25">
      <c r="A2" s="1190" t="s">
        <v>284</v>
      </c>
      <c r="B2" s="1190"/>
      <c r="C2" s="1190"/>
      <c r="D2" s="1190"/>
      <c r="E2" s="1190"/>
      <c r="F2" s="1190"/>
      <c r="G2" s="1190"/>
      <c r="H2" s="1190"/>
      <c r="I2" s="1190"/>
      <c r="J2" s="1190"/>
    </row>
    <row r="3" spans="1:10" ht="14.25">
      <c r="A3" s="1023"/>
      <c r="B3" s="1023"/>
      <c r="C3" s="1023"/>
      <c r="D3" s="1023"/>
      <c r="E3" s="1023"/>
      <c r="F3" s="1023"/>
      <c r="G3" s="1023"/>
      <c r="H3" s="1023"/>
      <c r="I3" s="1023"/>
      <c r="J3" s="1023"/>
    </row>
    <row r="4" ht="13.5" thickBot="1"/>
    <row r="5" spans="1:10" ht="13.5" thickTop="1">
      <c r="A5" s="1296" t="s">
        <v>1334</v>
      </c>
      <c r="B5" s="1022"/>
      <c r="C5" s="1298" t="s">
        <v>269</v>
      </c>
      <c r="D5" s="1298"/>
      <c r="E5" s="1298"/>
      <c r="F5" s="1298"/>
      <c r="G5" s="1298"/>
      <c r="H5" s="1298"/>
      <c r="I5" s="1292" t="s">
        <v>155</v>
      </c>
      <c r="J5" s="1300" t="s">
        <v>1286</v>
      </c>
    </row>
    <row r="6" spans="1:10" ht="38.25">
      <c r="A6" s="1297"/>
      <c r="B6" s="1036"/>
      <c r="C6" s="1037" t="s">
        <v>270</v>
      </c>
      <c r="D6" s="1037" t="s">
        <v>271</v>
      </c>
      <c r="E6" s="1037" t="s">
        <v>272</v>
      </c>
      <c r="F6" s="1037" t="s">
        <v>273</v>
      </c>
      <c r="G6" s="1037" t="s">
        <v>274</v>
      </c>
      <c r="H6" s="1038" t="s">
        <v>275</v>
      </c>
      <c r="I6" s="1299"/>
      <c r="J6" s="1301"/>
    </row>
    <row r="7" spans="1:10" ht="12.75">
      <c r="A7" s="1035">
        <v>1</v>
      </c>
      <c r="B7" s="1036">
        <v>2</v>
      </c>
      <c r="C7" s="1037">
        <v>3</v>
      </c>
      <c r="D7" s="1037">
        <v>4</v>
      </c>
      <c r="E7" s="1037">
        <v>5</v>
      </c>
      <c r="F7" s="1037">
        <v>6</v>
      </c>
      <c r="G7" s="1037">
        <v>7</v>
      </c>
      <c r="H7" s="1038">
        <v>8</v>
      </c>
      <c r="I7" s="1024" t="s">
        <v>276</v>
      </c>
      <c r="J7" s="1039" t="s">
        <v>277</v>
      </c>
    </row>
    <row r="8" spans="1:10" ht="12.75">
      <c r="A8" s="739" t="s">
        <v>278</v>
      </c>
      <c r="B8" s="464">
        <v>1</v>
      </c>
      <c r="C8" s="244"/>
      <c r="D8" s="244"/>
      <c r="E8" s="244">
        <v>81587</v>
      </c>
      <c r="F8" s="244">
        <v>85881</v>
      </c>
      <c r="G8" s="244">
        <v>94469</v>
      </c>
      <c r="H8" s="244">
        <v>3824984</v>
      </c>
      <c r="I8" s="236">
        <f>SUM(D8:H8)</f>
        <v>4086921</v>
      </c>
      <c r="J8" s="248">
        <f>SUM(C8+I8)</f>
        <v>4086921</v>
      </c>
    </row>
    <row r="9" spans="1:10" ht="12.75">
      <c r="A9" s="739" t="s">
        <v>279</v>
      </c>
      <c r="B9" s="464">
        <v>2</v>
      </c>
      <c r="C9" s="244">
        <v>2459</v>
      </c>
      <c r="D9" s="244">
        <v>2535</v>
      </c>
      <c r="E9" s="244">
        <v>2378</v>
      </c>
      <c r="F9" s="244"/>
      <c r="G9" s="244"/>
      <c r="H9" s="244"/>
      <c r="I9" s="236">
        <f>SUM(D9:H9)</f>
        <v>4913</v>
      </c>
      <c r="J9" s="248">
        <f>SUM(C9+I9)</f>
        <v>7372</v>
      </c>
    </row>
    <row r="10" spans="1:10" ht="12.75">
      <c r="A10" s="739" t="s">
        <v>280</v>
      </c>
      <c r="B10" s="464">
        <v>3</v>
      </c>
      <c r="C10" s="244">
        <v>12683</v>
      </c>
      <c r="D10" s="244">
        <v>12683</v>
      </c>
      <c r="E10" s="244">
        <v>12683</v>
      </c>
      <c r="F10" s="244">
        <v>12683</v>
      </c>
      <c r="G10" s="244">
        <v>12683</v>
      </c>
      <c r="H10" s="244">
        <v>22166</v>
      </c>
      <c r="I10" s="236">
        <f>SUM(D10:H10)</f>
        <v>72898</v>
      </c>
      <c r="J10" s="248">
        <f>SUM(C10+I10)</f>
        <v>85581</v>
      </c>
    </row>
    <row r="11" spans="1:10" ht="12.75">
      <c r="A11" s="739" t="s">
        <v>281</v>
      </c>
      <c r="B11" s="464">
        <v>4</v>
      </c>
      <c r="C11" s="244"/>
      <c r="D11" s="244">
        <v>43243</v>
      </c>
      <c r="E11" s="244">
        <v>6933</v>
      </c>
      <c r="F11" s="244"/>
      <c r="G11" s="244"/>
      <c r="H11" s="244"/>
      <c r="I11" s="236">
        <f>SUM(D11:H11)</f>
        <v>50176</v>
      </c>
      <c r="J11" s="248">
        <f>SUM(C11+I11)</f>
        <v>50176</v>
      </c>
    </row>
    <row r="12" spans="1:10" ht="25.5">
      <c r="A12" s="1040" t="s">
        <v>282</v>
      </c>
      <c r="B12" s="1041">
        <v>5</v>
      </c>
      <c r="C12" s="236">
        <f>SUM(C9+C11)</f>
        <v>2459</v>
      </c>
      <c r="D12" s="236">
        <f aca="true" t="shared" si="0" ref="D12:J12">SUM(D9+D11)</f>
        <v>45778</v>
      </c>
      <c r="E12" s="236">
        <f t="shared" si="0"/>
        <v>9311</v>
      </c>
      <c r="F12" s="236">
        <f t="shared" si="0"/>
        <v>0</v>
      </c>
      <c r="G12" s="236">
        <f t="shared" si="0"/>
        <v>0</v>
      </c>
      <c r="H12" s="236">
        <f t="shared" si="0"/>
        <v>0</v>
      </c>
      <c r="I12" s="236">
        <f t="shared" si="0"/>
        <v>55089</v>
      </c>
      <c r="J12" s="248">
        <f t="shared" si="0"/>
        <v>57548</v>
      </c>
    </row>
    <row r="13" spans="1:10" ht="26.25" thickBot="1">
      <c r="A13" s="1042" t="s">
        <v>283</v>
      </c>
      <c r="B13" s="1043">
        <v>6</v>
      </c>
      <c r="C13" s="237">
        <f>SUM(C8+C10)</f>
        <v>12683</v>
      </c>
      <c r="D13" s="237">
        <f aca="true" t="shared" si="1" ref="D13:J13">SUM(D8+D10)</f>
        <v>12683</v>
      </c>
      <c r="E13" s="237">
        <f t="shared" si="1"/>
        <v>94270</v>
      </c>
      <c r="F13" s="237">
        <f t="shared" si="1"/>
        <v>98564</v>
      </c>
      <c r="G13" s="237">
        <f t="shared" si="1"/>
        <v>107152</v>
      </c>
      <c r="H13" s="237">
        <f t="shared" si="1"/>
        <v>3847150</v>
      </c>
      <c r="I13" s="237">
        <f t="shared" si="1"/>
        <v>4159819</v>
      </c>
      <c r="J13" s="249">
        <f t="shared" si="1"/>
        <v>4172502</v>
      </c>
    </row>
    <row r="14" ht="13.5" thickTop="1"/>
  </sheetData>
  <mergeCells count="5">
    <mergeCell ref="A2:J2"/>
    <mergeCell ref="A5:A6"/>
    <mergeCell ref="C5:H5"/>
    <mergeCell ref="I5:I6"/>
    <mergeCell ref="J5:J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&amp;L22. sz.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98"/>
  <sheetViews>
    <sheetView zoomScale="75" zoomScaleNormal="75" workbookViewId="0" topLeftCell="A43">
      <selection activeCell="C52" sqref="C52"/>
    </sheetView>
  </sheetViews>
  <sheetFormatPr defaultColWidth="9.00390625" defaultRowHeight="12.75"/>
  <cols>
    <col min="1" max="1" width="7.25390625" style="756" customWidth="1"/>
    <col min="2" max="2" width="8.75390625" style="756" customWidth="1"/>
    <col min="3" max="3" width="46.625" style="756" customWidth="1"/>
    <col min="4" max="4" width="63.75390625" style="756" customWidth="1"/>
    <col min="5" max="5" width="21.25390625" style="756" customWidth="1"/>
    <col min="6" max="6" width="15.75390625" style="756" customWidth="1"/>
    <col min="7" max="8" width="13.25390625" style="756" bestFit="1" customWidth="1"/>
    <col min="9" max="9" width="18.75390625" style="756" customWidth="1"/>
    <col min="10" max="10" width="18.00390625" style="756" customWidth="1"/>
    <col min="11" max="11" width="49.625" style="634" customWidth="1"/>
    <col min="12" max="12" width="13.25390625" style="756" bestFit="1" customWidth="1"/>
    <col min="13" max="13" width="13.00390625" style="756" bestFit="1" customWidth="1"/>
    <col min="14" max="14" width="13.25390625" style="756" bestFit="1" customWidth="1"/>
    <col min="15" max="18" width="13.125" style="756" customWidth="1"/>
    <col min="19" max="19" width="12.75390625" style="756" customWidth="1"/>
    <col min="20" max="20" width="9.125" style="756" customWidth="1"/>
    <col min="21" max="21" width="11.125" style="756" bestFit="1" customWidth="1"/>
    <col min="22" max="23" width="9.125" style="756" customWidth="1"/>
    <col min="24" max="24" width="9.875" style="756" bestFit="1" customWidth="1"/>
    <col min="25" max="16384" width="9.125" style="756" customWidth="1"/>
  </cols>
  <sheetData>
    <row r="1" spans="1:19" ht="23.25">
      <c r="A1" s="1304" t="s">
        <v>856</v>
      </c>
      <c r="B1" s="1304"/>
      <c r="C1" s="1304"/>
      <c r="D1" s="1304"/>
      <c r="E1" s="1304"/>
      <c r="F1" s="1304"/>
      <c r="G1" s="1304"/>
      <c r="H1" s="1304"/>
      <c r="I1" s="1304"/>
      <c r="J1" s="1304"/>
      <c r="K1" s="1304"/>
      <c r="L1" s="1304"/>
      <c r="M1" s="1304"/>
      <c r="N1" s="1304"/>
      <c r="O1" s="1304"/>
      <c r="P1" s="1304"/>
      <c r="Q1" s="1304"/>
      <c r="R1" s="1304"/>
      <c r="S1" s="1304"/>
    </row>
    <row r="2" spans="1:19" ht="23.25">
      <c r="A2" s="1305" t="s">
        <v>857</v>
      </c>
      <c r="B2" s="1305"/>
      <c r="C2" s="1305"/>
      <c r="D2" s="1305"/>
      <c r="E2" s="1305"/>
      <c r="F2" s="1305"/>
      <c r="G2" s="1305"/>
      <c r="H2" s="1305"/>
      <c r="I2" s="1305"/>
      <c r="J2" s="1305"/>
      <c r="K2" s="1305"/>
      <c r="L2" s="1305"/>
      <c r="M2" s="1305"/>
      <c r="N2" s="1305"/>
      <c r="O2" s="1305"/>
      <c r="P2" s="1305"/>
      <c r="Q2" s="1305"/>
      <c r="R2" s="1305"/>
      <c r="S2" s="1305"/>
    </row>
    <row r="3" spans="1:19" ht="23.25">
      <c r="A3" s="1305" t="s">
        <v>554</v>
      </c>
      <c r="B3" s="1305"/>
      <c r="C3" s="1305"/>
      <c r="D3" s="1305"/>
      <c r="E3" s="1305"/>
      <c r="F3" s="1305"/>
      <c r="G3" s="1305"/>
      <c r="H3" s="1305"/>
      <c r="I3" s="1305"/>
      <c r="J3" s="1305"/>
      <c r="K3" s="1305"/>
      <c r="L3" s="1305"/>
      <c r="M3" s="1305"/>
      <c r="N3" s="1305"/>
      <c r="O3" s="1305"/>
      <c r="P3" s="1305"/>
      <c r="Q3" s="1305"/>
      <c r="R3" s="1305"/>
      <c r="S3" s="1305"/>
    </row>
    <row r="4" spans="3:4" ht="44.25" customHeight="1" thickBot="1">
      <c r="C4" s="839"/>
      <c r="D4" s="839"/>
    </row>
    <row r="5" spans="1:19" ht="21.75" customHeight="1" thickBot="1" thickTop="1">
      <c r="A5" s="1341" t="s">
        <v>1345</v>
      </c>
      <c r="B5" s="1344" t="s">
        <v>859</v>
      </c>
      <c r="C5" s="1336" t="s">
        <v>860</v>
      </c>
      <c r="D5" s="1336" t="s">
        <v>861</v>
      </c>
      <c r="E5" s="1336" t="s">
        <v>862</v>
      </c>
      <c r="F5" s="1336" t="s">
        <v>863</v>
      </c>
      <c r="G5" s="1306" t="s">
        <v>864</v>
      </c>
      <c r="H5" s="1307"/>
      <c r="I5" s="1307"/>
      <c r="J5" s="1307"/>
      <c r="K5" s="1308" t="s">
        <v>867</v>
      </c>
      <c r="L5" s="1306" t="s">
        <v>865</v>
      </c>
      <c r="M5" s="1307"/>
      <c r="N5" s="1311"/>
      <c r="O5" s="1306" t="s">
        <v>555</v>
      </c>
      <c r="P5" s="1307"/>
      <c r="Q5" s="1307"/>
      <c r="R5" s="1307"/>
      <c r="S5" s="1312"/>
    </row>
    <row r="6" spans="1:19" ht="16.5" customHeight="1">
      <c r="A6" s="1342"/>
      <c r="B6" s="1345"/>
      <c r="C6" s="1337"/>
      <c r="D6" s="1337"/>
      <c r="E6" s="1337"/>
      <c r="F6" s="1339"/>
      <c r="G6" s="1321">
        <v>2007</v>
      </c>
      <c r="H6" s="1321">
        <v>2008</v>
      </c>
      <c r="I6" s="1313">
        <v>2009</v>
      </c>
      <c r="J6" s="1326" t="s">
        <v>866</v>
      </c>
      <c r="K6" s="1309"/>
      <c r="L6" s="1313">
        <v>2007</v>
      </c>
      <c r="M6" s="1316">
        <v>2008</v>
      </c>
      <c r="N6" s="1316" t="s">
        <v>866</v>
      </c>
      <c r="O6" s="1302" t="s">
        <v>868</v>
      </c>
      <c r="P6" s="1329" t="s">
        <v>869</v>
      </c>
      <c r="Q6" s="1329" t="s">
        <v>870</v>
      </c>
      <c r="R6" s="1331" t="s">
        <v>871</v>
      </c>
      <c r="S6" s="1333" t="s">
        <v>1286</v>
      </c>
    </row>
    <row r="7" spans="1:19" ht="15.75" customHeight="1">
      <c r="A7" s="1342"/>
      <c r="B7" s="1345"/>
      <c r="C7" s="1337"/>
      <c r="D7" s="1337"/>
      <c r="E7" s="1337"/>
      <c r="F7" s="1339"/>
      <c r="G7" s="1322"/>
      <c r="H7" s="1322"/>
      <c r="I7" s="1324"/>
      <c r="J7" s="1327"/>
      <c r="K7" s="1309"/>
      <c r="L7" s="1314"/>
      <c r="M7" s="1317"/>
      <c r="N7" s="1319"/>
      <c r="O7" s="1302"/>
      <c r="P7" s="1329"/>
      <c r="Q7" s="1329"/>
      <c r="R7" s="1331"/>
      <c r="S7" s="1334"/>
    </row>
    <row r="8" spans="1:19" ht="36" customHeight="1" thickBot="1">
      <c r="A8" s="1343"/>
      <c r="B8" s="1346"/>
      <c r="C8" s="1338"/>
      <c r="D8" s="1338"/>
      <c r="E8" s="1338"/>
      <c r="F8" s="1340"/>
      <c r="G8" s="1323"/>
      <c r="H8" s="1323"/>
      <c r="I8" s="1325"/>
      <c r="J8" s="1328"/>
      <c r="K8" s="1310"/>
      <c r="L8" s="1315"/>
      <c r="M8" s="1318"/>
      <c r="N8" s="1320"/>
      <c r="O8" s="1303"/>
      <c r="P8" s="1330"/>
      <c r="Q8" s="1330"/>
      <c r="R8" s="1332"/>
      <c r="S8" s="1335"/>
    </row>
    <row r="9" spans="1:19" ht="37.5" customHeight="1">
      <c r="A9" s="835" t="s">
        <v>1525</v>
      </c>
      <c r="B9" s="836" t="s">
        <v>883</v>
      </c>
      <c r="C9" s="840" t="s">
        <v>889</v>
      </c>
      <c r="D9" s="840" t="s">
        <v>890</v>
      </c>
      <c r="E9" s="841" t="s">
        <v>891</v>
      </c>
      <c r="F9" s="842">
        <v>14309</v>
      </c>
      <c r="G9" s="843"/>
      <c r="H9" s="843">
        <v>14309</v>
      </c>
      <c r="I9" s="844"/>
      <c r="J9" s="845">
        <f aca="true" t="shared" si="0" ref="J9:J15">SUM(G9:I9)</f>
        <v>14309</v>
      </c>
      <c r="K9" s="846" t="s">
        <v>892</v>
      </c>
      <c r="L9" s="844"/>
      <c r="M9" s="847">
        <v>0</v>
      </c>
      <c r="N9" s="848">
        <f aca="true" t="shared" si="1" ref="N9:N23">SUM(L9:M9)</f>
        <v>0</v>
      </c>
      <c r="O9" s="849"/>
      <c r="P9" s="850"/>
      <c r="Q9" s="850"/>
      <c r="R9" s="851"/>
      <c r="S9" s="852">
        <f>SUM(O9:R9)</f>
        <v>0</v>
      </c>
    </row>
    <row r="10" spans="1:19" ht="79.5" customHeight="1">
      <c r="A10" s="837" t="s">
        <v>1526</v>
      </c>
      <c r="B10" s="838" t="s">
        <v>858</v>
      </c>
      <c r="C10" s="853" t="s">
        <v>884</v>
      </c>
      <c r="D10" s="854" t="s">
        <v>291</v>
      </c>
      <c r="E10" s="855" t="s">
        <v>885</v>
      </c>
      <c r="F10" s="856">
        <v>8526</v>
      </c>
      <c r="G10" s="857"/>
      <c r="H10" s="857"/>
      <c r="I10" s="858">
        <v>8526</v>
      </c>
      <c r="J10" s="859">
        <f t="shared" si="0"/>
        <v>8526</v>
      </c>
      <c r="K10" s="860" t="s">
        <v>556</v>
      </c>
      <c r="L10" s="858"/>
      <c r="M10" s="861">
        <v>0</v>
      </c>
      <c r="N10" s="862">
        <f t="shared" si="1"/>
        <v>0</v>
      </c>
      <c r="O10" s="863"/>
      <c r="P10" s="864"/>
      <c r="Q10" s="864">
        <v>162</v>
      </c>
      <c r="R10" s="865"/>
      <c r="S10" s="866">
        <f aca="true" t="shared" si="2" ref="S10:S23">SUM(O10:R10)</f>
        <v>162</v>
      </c>
    </row>
    <row r="11" spans="1:19" ht="81">
      <c r="A11" s="837" t="s">
        <v>1528</v>
      </c>
      <c r="B11" s="838" t="s">
        <v>858</v>
      </c>
      <c r="C11" s="853" t="s">
        <v>884</v>
      </c>
      <c r="D11" s="854" t="s">
        <v>293</v>
      </c>
      <c r="E11" s="855" t="s">
        <v>885</v>
      </c>
      <c r="F11" s="856">
        <v>10719</v>
      </c>
      <c r="G11" s="857"/>
      <c r="H11" s="857"/>
      <c r="I11" s="858">
        <v>10719</v>
      </c>
      <c r="J11" s="859">
        <f t="shared" si="0"/>
        <v>10719</v>
      </c>
      <c r="K11" s="860" t="s">
        <v>557</v>
      </c>
      <c r="L11" s="858"/>
      <c r="M11" s="861">
        <v>0</v>
      </c>
      <c r="N11" s="862">
        <f t="shared" si="1"/>
        <v>0</v>
      </c>
      <c r="O11" s="863"/>
      <c r="P11" s="864"/>
      <c r="Q11" s="864">
        <v>216</v>
      </c>
      <c r="R11" s="865"/>
      <c r="S11" s="866">
        <f t="shared" si="2"/>
        <v>216</v>
      </c>
    </row>
    <row r="12" spans="1:19" ht="81">
      <c r="A12" s="837" t="s">
        <v>1529</v>
      </c>
      <c r="B12" s="838" t="s">
        <v>858</v>
      </c>
      <c r="C12" s="853" t="s">
        <v>884</v>
      </c>
      <c r="D12" s="854" t="s">
        <v>295</v>
      </c>
      <c r="E12" s="855" t="s">
        <v>885</v>
      </c>
      <c r="F12" s="856">
        <v>12980</v>
      </c>
      <c r="G12" s="857"/>
      <c r="H12" s="857"/>
      <c r="I12" s="858">
        <v>12980</v>
      </c>
      <c r="J12" s="859">
        <f t="shared" si="0"/>
        <v>12980</v>
      </c>
      <c r="K12" s="860" t="s">
        <v>558</v>
      </c>
      <c r="L12" s="858"/>
      <c r="M12" s="861">
        <v>0</v>
      </c>
      <c r="N12" s="862">
        <f t="shared" si="1"/>
        <v>0</v>
      </c>
      <c r="O12" s="863"/>
      <c r="P12" s="864"/>
      <c r="Q12" s="864">
        <v>192</v>
      </c>
      <c r="R12" s="865"/>
      <c r="S12" s="866">
        <f t="shared" si="2"/>
        <v>192</v>
      </c>
    </row>
    <row r="13" spans="1:19" ht="39.75" customHeight="1">
      <c r="A13" s="837" t="s">
        <v>1530</v>
      </c>
      <c r="B13" s="838" t="s">
        <v>858</v>
      </c>
      <c r="C13" s="853" t="s">
        <v>299</v>
      </c>
      <c r="D13" s="854" t="s">
        <v>300</v>
      </c>
      <c r="E13" s="855" t="s">
        <v>559</v>
      </c>
      <c r="F13" s="856">
        <v>554000</v>
      </c>
      <c r="G13" s="857"/>
      <c r="H13" s="857"/>
      <c r="I13" s="858">
        <v>549000</v>
      </c>
      <c r="J13" s="859">
        <f t="shared" si="0"/>
        <v>549000</v>
      </c>
      <c r="K13" s="860" t="s">
        <v>560</v>
      </c>
      <c r="L13" s="858"/>
      <c r="M13" s="861">
        <v>0</v>
      </c>
      <c r="N13" s="862">
        <f t="shared" si="1"/>
        <v>0</v>
      </c>
      <c r="O13" s="863"/>
      <c r="P13" s="864"/>
      <c r="Q13" s="864"/>
      <c r="R13" s="865">
        <v>167386</v>
      </c>
      <c r="S13" s="866">
        <f t="shared" si="2"/>
        <v>167386</v>
      </c>
    </row>
    <row r="14" spans="1:19" ht="39.75" customHeight="1">
      <c r="A14" s="837" t="s">
        <v>1531</v>
      </c>
      <c r="B14" s="838" t="s">
        <v>858</v>
      </c>
      <c r="C14" s="853" t="s">
        <v>302</v>
      </c>
      <c r="D14" s="854" t="s">
        <v>303</v>
      </c>
      <c r="E14" s="855" t="s">
        <v>561</v>
      </c>
      <c r="F14" s="856">
        <v>149879</v>
      </c>
      <c r="G14" s="857"/>
      <c r="H14" s="857"/>
      <c r="I14" s="858">
        <v>142597</v>
      </c>
      <c r="J14" s="859">
        <f t="shared" si="0"/>
        <v>142597</v>
      </c>
      <c r="K14" s="860" t="s">
        <v>562</v>
      </c>
      <c r="L14" s="858"/>
      <c r="M14" s="861">
        <v>0</v>
      </c>
      <c r="N14" s="862">
        <f t="shared" si="1"/>
        <v>0</v>
      </c>
      <c r="O14" s="863"/>
      <c r="P14" s="864"/>
      <c r="Q14" s="864">
        <v>49909</v>
      </c>
      <c r="R14" s="865"/>
      <c r="S14" s="866">
        <f t="shared" si="2"/>
        <v>49909</v>
      </c>
    </row>
    <row r="15" spans="1:19" ht="80.25" customHeight="1">
      <c r="A15" s="837" t="s">
        <v>1532</v>
      </c>
      <c r="B15" s="838" t="s">
        <v>858</v>
      </c>
      <c r="C15" s="853" t="s">
        <v>308</v>
      </c>
      <c r="D15" s="854" t="s">
        <v>309</v>
      </c>
      <c r="E15" s="855" t="s">
        <v>310</v>
      </c>
      <c r="F15" s="856">
        <v>80000</v>
      </c>
      <c r="G15" s="857"/>
      <c r="H15" s="857"/>
      <c r="I15" s="858"/>
      <c r="J15" s="859">
        <f t="shared" si="0"/>
        <v>0</v>
      </c>
      <c r="K15" s="860" t="s">
        <v>311</v>
      </c>
      <c r="L15" s="858"/>
      <c r="M15" s="861">
        <v>0</v>
      </c>
      <c r="N15" s="862">
        <f t="shared" si="1"/>
        <v>0</v>
      </c>
      <c r="O15" s="863"/>
      <c r="P15" s="864"/>
      <c r="Q15" s="864"/>
      <c r="R15" s="865"/>
      <c r="S15" s="866">
        <f t="shared" si="2"/>
        <v>0</v>
      </c>
    </row>
    <row r="16" spans="1:19" ht="63" customHeight="1">
      <c r="A16" s="837" t="s">
        <v>1533</v>
      </c>
      <c r="B16" s="838" t="s">
        <v>858</v>
      </c>
      <c r="C16" s="853" t="s">
        <v>313</v>
      </c>
      <c r="D16" s="854" t="s">
        <v>314</v>
      </c>
      <c r="E16" s="855" t="s">
        <v>891</v>
      </c>
      <c r="F16" s="856">
        <v>80000</v>
      </c>
      <c r="G16" s="857"/>
      <c r="H16" s="857"/>
      <c r="I16" s="858">
        <v>80000</v>
      </c>
      <c r="J16" s="859">
        <v>80000</v>
      </c>
      <c r="K16" s="860" t="s">
        <v>315</v>
      </c>
      <c r="L16" s="858"/>
      <c r="M16" s="861">
        <v>0</v>
      </c>
      <c r="N16" s="862">
        <f t="shared" si="1"/>
        <v>0</v>
      </c>
      <c r="O16" s="863"/>
      <c r="P16" s="864"/>
      <c r="Q16" s="864"/>
      <c r="R16" s="865"/>
      <c r="S16" s="866">
        <f t="shared" si="2"/>
        <v>0</v>
      </c>
    </row>
    <row r="17" spans="1:19" ht="82.5" customHeight="1">
      <c r="A17" s="837" t="s">
        <v>1534</v>
      </c>
      <c r="B17" s="838" t="s">
        <v>858</v>
      </c>
      <c r="C17" s="853" t="s">
        <v>323</v>
      </c>
      <c r="D17" s="854" t="s">
        <v>324</v>
      </c>
      <c r="E17" s="855" t="s">
        <v>563</v>
      </c>
      <c r="F17" s="856">
        <v>238476</v>
      </c>
      <c r="G17" s="857"/>
      <c r="H17" s="857"/>
      <c r="I17" s="858">
        <v>238476</v>
      </c>
      <c r="J17" s="859">
        <f>SUM(G17:I17)</f>
        <v>238476</v>
      </c>
      <c r="K17" s="860" t="s">
        <v>564</v>
      </c>
      <c r="L17" s="858"/>
      <c r="M17" s="861">
        <v>0</v>
      </c>
      <c r="N17" s="862">
        <f t="shared" si="1"/>
        <v>0</v>
      </c>
      <c r="O17" s="863"/>
      <c r="P17" s="864">
        <v>83466</v>
      </c>
      <c r="Q17" s="864"/>
      <c r="R17" s="865"/>
      <c r="S17" s="866">
        <f t="shared" si="2"/>
        <v>83466</v>
      </c>
    </row>
    <row r="18" spans="1:19" ht="78" customHeight="1">
      <c r="A18" s="837" t="s">
        <v>1535</v>
      </c>
      <c r="B18" s="838" t="s">
        <v>858</v>
      </c>
      <c r="C18" s="853" t="s">
        <v>325</v>
      </c>
      <c r="D18" s="854" t="s">
        <v>326</v>
      </c>
      <c r="E18" s="855" t="s">
        <v>327</v>
      </c>
      <c r="F18" s="856">
        <v>19997</v>
      </c>
      <c r="G18" s="857"/>
      <c r="H18" s="857"/>
      <c r="I18" s="858">
        <v>19999</v>
      </c>
      <c r="J18" s="859">
        <f>SUM(G18:I18)</f>
        <v>19999</v>
      </c>
      <c r="K18" s="860" t="s">
        <v>565</v>
      </c>
      <c r="L18" s="858"/>
      <c r="M18" s="861">
        <v>0</v>
      </c>
      <c r="N18" s="862">
        <f t="shared" si="1"/>
        <v>0</v>
      </c>
      <c r="O18" s="863"/>
      <c r="P18" s="864">
        <v>5000</v>
      </c>
      <c r="Q18" s="864"/>
      <c r="R18" s="865">
        <v>340</v>
      </c>
      <c r="S18" s="866">
        <f t="shared" si="2"/>
        <v>5340</v>
      </c>
    </row>
    <row r="19" spans="1:19" ht="39.75" customHeight="1">
      <c r="A19" s="837" t="s">
        <v>1536</v>
      </c>
      <c r="B19" s="838" t="s">
        <v>858</v>
      </c>
      <c r="C19" s="853" t="s">
        <v>330</v>
      </c>
      <c r="D19" s="854" t="s">
        <v>331</v>
      </c>
      <c r="E19" s="855" t="s">
        <v>891</v>
      </c>
      <c r="F19" s="856">
        <v>15000</v>
      </c>
      <c r="G19" s="857"/>
      <c r="H19" s="857"/>
      <c r="I19" s="861"/>
      <c r="J19" s="859">
        <f>SUM(G19:I19)</f>
        <v>0</v>
      </c>
      <c r="K19" s="860" t="s">
        <v>1019</v>
      </c>
      <c r="L19" s="857"/>
      <c r="M19" s="861">
        <v>0</v>
      </c>
      <c r="N19" s="862">
        <f t="shared" si="1"/>
        <v>0</v>
      </c>
      <c r="O19" s="863"/>
      <c r="P19" s="864"/>
      <c r="Q19" s="864"/>
      <c r="R19" s="865"/>
      <c r="S19" s="866">
        <f t="shared" si="2"/>
        <v>0</v>
      </c>
    </row>
    <row r="20" spans="1:19" ht="39.75" customHeight="1">
      <c r="A20" s="837" t="s">
        <v>1537</v>
      </c>
      <c r="B20" s="752" t="s">
        <v>858</v>
      </c>
      <c r="C20" s="867" t="s">
        <v>318</v>
      </c>
      <c r="D20" s="868" t="s">
        <v>319</v>
      </c>
      <c r="E20" s="869" t="s">
        <v>566</v>
      </c>
      <c r="F20" s="870">
        <v>1700</v>
      </c>
      <c r="G20" s="871"/>
      <c r="H20" s="872">
        <v>1500</v>
      </c>
      <c r="I20" s="861"/>
      <c r="J20" s="859">
        <f>SUM(G20:I20)</f>
        <v>1500</v>
      </c>
      <c r="K20" s="873" t="s">
        <v>567</v>
      </c>
      <c r="L20" s="874"/>
      <c r="M20" s="875">
        <v>0</v>
      </c>
      <c r="N20" s="859">
        <f t="shared" si="1"/>
        <v>0</v>
      </c>
      <c r="O20" s="876"/>
      <c r="P20" s="877"/>
      <c r="Q20" s="857">
        <v>1500</v>
      </c>
      <c r="R20" s="878"/>
      <c r="S20" s="866">
        <f t="shared" si="2"/>
        <v>1500</v>
      </c>
    </row>
    <row r="21" spans="1:19" ht="39.75" customHeight="1">
      <c r="A21" s="837" t="s">
        <v>1538</v>
      </c>
      <c r="B21" s="838" t="s">
        <v>858</v>
      </c>
      <c r="C21" s="853" t="s">
        <v>333</v>
      </c>
      <c r="D21" s="854" t="s">
        <v>334</v>
      </c>
      <c r="E21" s="855" t="s">
        <v>335</v>
      </c>
      <c r="F21" s="856" t="s">
        <v>336</v>
      </c>
      <c r="G21" s="857"/>
      <c r="H21" s="857"/>
      <c r="I21" s="861" t="s">
        <v>337</v>
      </c>
      <c r="J21" s="859" t="s">
        <v>337</v>
      </c>
      <c r="K21" s="860" t="s">
        <v>896</v>
      </c>
      <c r="L21" s="857"/>
      <c r="M21" s="861">
        <v>0</v>
      </c>
      <c r="N21" s="862">
        <f t="shared" si="1"/>
        <v>0</v>
      </c>
      <c r="O21" s="863"/>
      <c r="P21" s="864"/>
      <c r="Q21" s="864"/>
      <c r="R21" s="865"/>
      <c r="S21" s="866">
        <f t="shared" si="2"/>
        <v>0</v>
      </c>
    </row>
    <row r="22" spans="1:19" ht="39.75" customHeight="1">
      <c r="A22" s="837" t="s">
        <v>1539</v>
      </c>
      <c r="B22" s="838" t="s">
        <v>858</v>
      </c>
      <c r="C22" s="853" t="s">
        <v>338</v>
      </c>
      <c r="D22" s="854" t="s">
        <v>339</v>
      </c>
      <c r="E22" s="855" t="s">
        <v>335</v>
      </c>
      <c r="F22" s="856" t="s">
        <v>340</v>
      </c>
      <c r="G22" s="857"/>
      <c r="H22" s="857"/>
      <c r="I22" s="861" t="s">
        <v>340</v>
      </c>
      <c r="J22" s="859" t="s">
        <v>340</v>
      </c>
      <c r="K22" s="860" t="s">
        <v>896</v>
      </c>
      <c r="L22" s="857"/>
      <c r="M22" s="861">
        <v>0</v>
      </c>
      <c r="N22" s="862">
        <f t="shared" si="1"/>
        <v>0</v>
      </c>
      <c r="O22" s="863"/>
      <c r="P22" s="864"/>
      <c r="Q22" s="864"/>
      <c r="R22" s="865"/>
      <c r="S22" s="866">
        <f t="shared" si="2"/>
        <v>0</v>
      </c>
    </row>
    <row r="23" spans="1:19" ht="39.75" customHeight="1">
      <c r="A23" s="837" t="s">
        <v>1541</v>
      </c>
      <c r="B23" s="838" t="s">
        <v>858</v>
      </c>
      <c r="C23" s="853" t="s">
        <v>338</v>
      </c>
      <c r="D23" s="854" t="s">
        <v>341</v>
      </c>
      <c r="E23" s="855" t="s">
        <v>335</v>
      </c>
      <c r="F23" s="856" t="s">
        <v>342</v>
      </c>
      <c r="G23" s="857"/>
      <c r="H23" s="857"/>
      <c r="I23" s="861" t="s">
        <v>342</v>
      </c>
      <c r="J23" s="859" t="s">
        <v>342</v>
      </c>
      <c r="K23" s="860" t="s">
        <v>896</v>
      </c>
      <c r="L23" s="857"/>
      <c r="M23" s="861">
        <v>0</v>
      </c>
      <c r="N23" s="862">
        <f t="shared" si="1"/>
        <v>0</v>
      </c>
      <c r="O23" s="863"/>
      <c r="P23" s="864"/>
      <c r="Q23" s="864"/>
      <c r="R23" s="865"/>
      <c r="S23" s="866">
        <f t="shared" si="2"/>
        <v>0</v>
      </c>
    </row>
    <row r="24" spans="1:19" ht="39.75" customHeight="1">
      <c r="A24" s="837" t="s">
        <v>1542</v>
      </c>
      <c r="B24" s="838">
        <v>2008</v>
      </c>
      <c r="C24" s="853" t="s">
        <v>343</v>
      </c>
      <c r="D24" s="854" t="s">
        <v>344</v>
      </c>
      <c r="E24" s="855" t="s">
        <v>310</v>
      </c>
      <c r="F24" s="856">
        <v>96800</v>
      </c>
      <c r="G24" s="857"/>
      <c r="H24" s="857"/>
      <c r="I24" s="861"/>
      <c r="J24" s="859">
        <f>SUM(G24:I24)</f>
        <v>0</v>
      </c>
      <c r="K24" s="860" t="s">
        <v>568</v>
      </c>
      <c r="L24" s="857"/>
      <c r="M24" s="861">
        <v>0</v>
      </c>
      <c r="N24" s="862">
        <f>SUM(L24:M24)</f>
        <v>0</v>
      </c>
      <c r="O24" s="863"/>
      <c r="P24" s="864"/>
      <c r="Q24" s="864"/>
      <c r="R24" s="865"/>
      <c r="S24" s="866">
        <f>SUM(O24:R24)</f>
        <v>0</v>
      </c>
    </row>
    <row r="25" spans="1:19" ht="39.75" customHeight="1">
      <c r="A25" s="837" t="s">
        <v>1543</v>
      </c>
      <c r="B25" s="838" t="s">
        <v>858</v>
      </c>
      <c r="C25" s="853" t="s">
        <v>345</v>
      </c>
      <c r="D25" s="854" t="s">
        <v>332</v>
      </c>
      <c r="E25" s="855" t="s">
        <v>894</v>
      </c>
      <c r="F25" s="856">
        <v>2500</v>
      </c>
      <c r="G25" s="857"/>
      <c r="H25" s="857"/>
      <c r="I25" s="861">
        <v>2500</v>
      </c>
      <c r="J25" s="859">
        <f>SUM(G25:I25)</f>
        <v>2500</v>
      </c>
      <c r="K25" s="860" t="s">
        <v>346</v>
      </c>
      <c r="L25" s="857"/>
      <c r="M25" s="861">
        <v>0</v>
      </c>
      <c r="N25" s="862">
        <f>SUM(L25:M25)</f>
        <v>0</v>
      </c>
      <c r="O25" s="863"/>
      <c r="P25" s="864">
        <v>625</v>
      </c>
      <c r="Q25" s="864">
        <v>1875</v>
      </c>
      <c r="R25" s="865"/>
      <c r="S25" s="866">
        <f>SUM(O25:R25)</f>
        <v>2500</v>
      </c>
    </row>
    <row r="26" spans="1:19" ht="39.75" customHeight="1">
      <c r="A26" s="837" t="s">
        <v>1545</v>
      </c>
      <c r="B26" s="838" t="s">
        <v>858</v>
      </c>
      <c r="C26" s="853" t="s">
        <v>345</v>
      </c>
      <c r="D26" s="854" t="s">
        <v>569</v>
      </c>
      <c r="E26" s="855" t="s">
        <v>347</v>
      </c>
      <c r="F26" s="856">
        <v>1000</v>
      </c>
      <c r="G26" s="857"/>
      <c r="H26" s="857"/>
      <c r="I26" s="861">
        <v>1000</v>
      </c>
      <c r="J26" s="859">
        <f>SUM(G26:I26)</f>
        <v>1000</v>
      </c>
      <c r="K26" s="860" t="s">
        <v>570</v>
      </c>
      <c r="L26" s="857"/>
      <c r="M26" s="861">
        <v>0</v>
      </c>
      <c r="N26" s="862">
        <f>SUM(L26:M26)</f>
        <v>0</v>
      </c>
      <c r="O26" s="863"/>
      <c r="P26" s="864"/>
      <c r="Q26" s="864"/>
      <c r="R26" s="865">
        <v>1000</v>
      </c>
      <c r="S26" s="866">
        <f>SUM(O26:R26)</f>
        <v>1000</v>
      </c>
    </row>
    <row r="27" spans="1:19" ht="39.75" customHeight="1">
      <c r="A27" s="837" t="s">
        <v>1546</v>
      </c>
      <c r="B27" s="838" t="s">
        <v>858</v>
      </c>
      <c r="C27" s="853" t="s">
        <v>348</v>
      </c>
      <c r="D27" s="854" t="s">
        <v>349</v>
      </c>
      <c r="E27" s="855" t="s">
        <v>335</v>
      </c>
      <c r="F27" s="856" t="s">
        <v>350</v>
      </c>
      <c r="G27" s="857"/>
      <c r="H27" s="857"/>
      <c r="I27" s="879" t="s">
        <v>571</v>
      </c>
      <c r="J27" s="880" t="str">
        <f>I27</f>
        <v>10 015,18 Euro</v>
      </c>
      <c r="K27" s="860" t="s">
        <v>329</v>
      </c>
      <c r="L27" s="857"/>
      <c r="M27" s="861">
        <v>0</v>
      </c>
      <c r="N27" s="862">
        <f>SUM(L27:M27)</f>
        <v>0</v>
      </c>
      <c r="O27" s="863"/>
      <c r="P27" s="864"/>
      <c r="Q27" s="864"/>
      <c r="R27" s="865"/>
      <c r="S27" s="866">
        <f>SUM(O27:R27)</f>
        <v>0</v>
      </c>
    </row>
    <row r="28" spans="1:19" ht="39.75" customHeight="1">
      <c r="A28" s="837" t="s">
        <v>1547</v>
      </c>
      <c r="B28" s="838" t="s">
        <v>858</v>
      </c>
      <c r="C28" s="853" t="s">
        <v>572</v>
      </c>
      <c r="D28" s="854" t="s">
        <v>573</v>
      </c>
      <c r="E28" s="855" t="s">
        <v>335</v>
      </c>
      <c r="F28" s="856">
        <v>1425</v>
      </c>
      <c r="G28" s="857"/>
      <c r="H28" s="857"/>
      <c r="I28" s="879">
        <v>1425</v>
      </c>
      <c r="J28" s="880">
        <f aca="true" t="shared" si="3" ref="J28:J56">SUM(G28:I28)</f>
        <v>1425</v>
      </c>
      <c r="K28" s="860" t="s">
        <v>329</v>
      </c>
      <c r="L28" s="857"/>
      <c r="M28" s="861">
        <v>0</v>
      </c>
      <c r="N28" s="862">
        <f>SUM(L28:M28)</f>
        <v>0</v>
      </c>
      <c r="O28" s="863"/>
      <c r="P28" s="864">
        <v>1425</v>
      </c>
      <c r="Q28" s="864"/>
      <c r="R28" s="865"/>
      <c r="S28" s="866">
        <f>SUM(O28:R28)</f>
        <v>1425</v>
      </c>
    </row>
    <row r="29" spans="1:19" ht="58.5" customHeight="1">
      <c r="A29" s="837" t="s">
        <v>1548</v>
      </c>
      <c r="B29" s="838" t="s">
        <v>554</v>
      </c>
      <c r="C29" s="853" t="s">
        <v>574</v>
      </c>
      <c r="D29" s="854" t="s">
        <v>575</v>
      </c>
      <c r="E29" s="855" t="s">
        <v>576</v>
      </c>
      <c r="F29" s="856"/>
      <c r="G29" s="857"/>
      <c r="H29" s="857"/>
      <c r="I29" s="879"/>
      <c r="J29" s="880">
        <f t="shared" si="3"/>
        <v>0</v>
      </c>
      <c r="K29" s="860" t="s">
        <v>577</v>
      </c>
      <c r="L29" s="857"/>
      <c r="M29" s="861">
        <v>0</v>
      </c>
      <c r="N29" s="862">
        <f aca="true" t="shared" si="4" ref="N29:N73">SUM(L29:M29)</f>
        <v>0</v>
      </c>
      <c r="O29" s="863"/>
      <c r="P29" s="864"/>
      <c r="Q29" s="864"/>
      <c r="R29" s="865"/>
      <c r="S29" s="866">
        <f aca="true" t="shared" si="5" ref="S29:S73">SUM(O29:R29)</f>
        <v>0</v>
      </c>
    </row>
    <row r="30" spans="1:19" ht="39.75" customHeight="1">
      <c r="A30" s="837" t="s">
        <v>1549</v>
      </c>
      <c r="B30" s="838" t="s">
        <v>554</v>
      </c>
      <c r="C30" s="853" t="s">
        <v>578</v>
      </c>
      <c r="D30" s="854" t="s">
        <v>579</v>
      </c>
      <c r="E30" s="855" t="s">
        <v>576</v>
      </c>
      <c r="F30" s="856">
        <v>200000</v>
      </c>
      <c r="G30" s="857"/>
      <c r="H30" s="857"/>
      <c r="I30" s="879"/>
      <c r="J30" s="880">
        <f t="shared" si="3"/>
        <v>0</v>
      </c>
      <c r="K30" s="860" t="s">
        <v>580</v>
      </c>
      <c r="L30" s="857"/>
      <c r="M30" s="861">
        <v>0</v>
      </c>
      <c r="N30" s="862">
        <f t="shared" si="4"/>
        <v>0</v>
      </c>
      <c r="O30" s="863"/>
      <c r="P30" s="864"/>
      <c r="Q30" s="864"/>
      <c r="R30" s="865"/>
      <c r="S30" s="866">
        <f t="shared" si="5"/>
        <v>0</v>
      </c>
    </row>
    <row r="31" spans="1:19" ht="108" customHeight="1">
      <c r="A31" s="837" t="s">
        <v>1550</v>
      </c>
      <c r="B31" s="838" t="s">
        <v>554</v>
      </c>
      <c r="C31" s="853" t="s">
        <v>581</v>
      </c>
      <c r="D31" s="854" t="s">
        <v>582</v>
      </c>
      <c r="E31" s="855" t="s">
        <v>891</v>
      </c>
      <c r="F31" s="856">
        <v>179029</v>
      </c>
      <c r="G31" s="857"/>
      <c r="H31" s="857"/>
      <c r="I31" s="879">
        <v>150069</v>
      </c>
      <c r="J31" s="880">
        <f t="shared" si="3"/>
        <v>150069</v>
      </c>
      <c r="K31" s="860" t="s">
        <v>583</v>
      </c>
      <c r="L31" s="857"/>
      <c r="M31" s="861">
        <v>0</v>
      </c>
      <c r="N31" s="862">
        <f t="shared" si="4"/>
        <v>0</v>
      </c>
      <c r="O31" s="863"/>
      <c r="P31" s="864"/>
      <c r="Q31" s="864"/>
      <c r="R31" s="865"/>
      <c r="S31" s="866">
        <f t="shared" si="5"/>
        <v>0</v>
      </c>
    </row>
    <row r="32" spans="1:19" ht="39.75" customHeight="1">
      <c r="A32" s="837" t="s">
        <v>1551</v>
      </c>
      <c r="B32" s="838" t="s">
        <v>554</v>
      </c>
      <c r="C32" s="853" t="s">
        <v>884</v>
      </c>
      <c r="D32" s="854" t="s">
        <v>584</v>
      </c>
      <c r="E32" s="855" t="s">
        <v>885</v>
      </c>
      <c r="F32" s="856">
        <v>20000</v>
      </c>
      <c r="G32" s="857"/>
      <c r="H32" s="857"/>
      <c r="I32" s="879">
        <v>15661</v>
      </c>
      <c r="J32" s="880">
        <f t="shared" si="3"/>
        <v>15661</v>
      </c>
      <c r="K32" s="860" t="s">
        <v>896</v>
      </c>
      <c r="L32" s="857"/>
      <c r="M32" s="861">
        <v>0</v>
      </c>
      <c r="N32" s="862">
        <f t="shared" si="4"/>
        <v>0</v>
      </c>
      <c r="O32" s="863"/>
      <c r="P32" s="864"/>
      <c r="Q32" s="864"/>
      <c r="R32" s="865"/>
      <c r="S32" s="866">
        <f t="shared" si="5"/>
        <v>0</v>
      </c>
    </row>
    <row r="33" spans="1:19" ht="39.75" customHeight="1">
      <c r="A33" s="837" t="s">
        <v>1552</v>
      </c>
      <c r="B33" s="838" t="str">
        <f>B32</f>
        <v>2009.</v>
      </c>
      <c r="C33" s="853" t="str">
        <f>C32</f>
        <v>Közép-Dunántúli Regionális Fejlesztési Tanács TEUT</v>
      </c>
      <c r="D33" s="854" t="s">
        <v>585</v>
      </c>
      <c r="E33" s="855" t="s">
        <v>891</v>
      </c>
      <c r="F33" s="856">
        <v>9826</v>
      </c>
      <c r="G33" s="857"/>
      <c r="H33" s="857"/>
      <c r="I33" s="879"/>
      <c r="J33" s="880">
        <f t="shared" si="3"/>
        <v>0</v>
      </c>
      <c r="K33" s="860" t="s">
        <v>887</v>
      </c>
      <c r="L33" s="857"/>
      <c r="M33" s="861">
        <v>0</v>
      </c>
      <c r="N33" s="862">
        <f t="shared" si="4"/>
        <v>0</v>
      </c>
      <c r="O33" s="863"/>
      <c r="P33" s="864"/>
      <c r="Q33" s="864"/>
      <c r="R33" s="865"/>
      <c r="S33" s="866">
        <f t="shared" si="5"/>
        <v>0</v>
      </c>
    </row>
    <row r="34" spans="1:19" ht="39.75" customHeight="1">
      <c r="A34" s="837" t="s">
        <v>1553</v>
      </c>
      <c r="B34" s="838" t="s">
        <v>554</v>
      </c>
      <c r="C34" s="853" t="str">
        <f>C33</f>
        <v>Közép-Dunántúli Regionális Fejlesztési Tanács TEUT</v>
      </c>
      <c r="D34" s="854" t="s">
        <v>586</v>
      </c>
      <c r="E34" s="855" t="s">
        <v>891</v>
      </c>
      <c r="F34" s="856">
        <v>14906</v>
      </c>
      <c r="G34" s="857"/>
      <c r="H34" s="857"/>
      <c r="I34" s="879"/>
      <c r="J34" s="880">
        <f t="shared" si="3"/>
        <v>0</v>
      </c>
      <c r="K34" s="860" t="str">
        <f>K33</f>
        <v>Forráshiány miatt tartaléklistára került</v>
      </c>
      <c r="L34" s="857"/>
      <c r="M34" s="861">
        <v>0</v>
      </c>
      <c r="N34" s="862">
        <f t="shared" si="4"/>
        <v>0</v>
      </c>
      <c r="O34" s="863"/>
      <c r="P34" s="864"/>
      <c r="Q34" s="864"/>
      <c r="R34" s="865"/>
      <c r="S34" s="866">
        <f t="shared" si="5"/>
        <v>0</v>
      </c>
    </row>
    <row r="35" spans="1:19" ht="39.75" customHeight="1">
      <c r="A35" s="837" t="s">
        <v>872</v>
      </c>
      <c r="B35" s="838" t="s">
        <v>554</v>
      </c>
      <c r="C35" s="853" t="str">
        <f>C34</f>
        <v>Közép-Dunántúli Regionális Fejlesztési Tanács TEUT</v>
      </c>
      <c r="D35" s="854" t="s">
        <v>587</v>
      </c>
      <c r="E35" s="855" t="s">
        <v>891</v>
      </c>
      <c r="F35" s="856">
        <v>16650</v>
      </c>
      <c r="G35" s="857"/>
      <c r="H35" s="857"/>
      <c r="I35" s="879"/>
      <c r="J35" s="880">
        <f t="shared" si="3"/>
        <v>0</v>
      </c>
      <c r="K35" s="860" t="str">
        <f>K34</f>
        <v>Forráshiány miatt tartaléklistára került</v>
      </c>
      <c r="L35" s="857"/>
      <c r="M35" s="861">
        <v>0</v>
      </c>
      <c r="N35" s="862">
        <f t="shared" si="4"/>
        <v>0</v>
      </c>
      <c r="O35" s="863"/>
      <c r="P35" s="864"/>
      <c r="Q35" s="864"/>
      <c r="R35" s="865"/>
      <c r="S35" s="866">
        <f t="shared" si="5"/>
        <v>0</v>
      </c>
    </row>
    <row r="36" spans="1:19" ht="60.75">
      <c r="A36" s="837" t="s">
        <v>873</v>
      </c>
      <c r="B36" s="838" t="s">
        <v>554</v>
      </c>
      <c r="C36" s="853" t="s">
        <v>588</v>
      </c>
      <c r="D36" s="854" t="s">
        <v>589</v>
      </c>
      <c r="E36" s="855" t="s">
        <v>590</v>
      </c>
      <c r="F36" s="856">
        <v>53582</v>
      </c>
      <c r="G36" s="857"/>
      <c r="H36" s="857"/>
      <c r="I36" s="879">
        <v>52305</v>
      </c>
      <c r="J36" s="880">
        <f t="shared" si="3"/>
        <v>52305</v>
      </c>
      <c r="K36" s="860" t="s">
        <v>1221</v>
      </c>
      <c r="L36" s="857"/>
      <c r="M36" s="861">
        <v>0</v>
      </c>
      <c r="N36" s="862">
        <f t="shared" si="4"/>
        <v>0</v>
      </c>
      <c r="O36" s="863"/>
      <c r="P36" s="864"/>
      <c r="Q36" s="864"/>
      <c r="R36" s="865"/>
      <c r="S36" s="866">
        <f t="shared" si="5"/>
        <v>0</v>
      </c>
    </row>
    <row r="37" spans="1:19" ht="85.5" customHeight="1">
      <c r="A37" s="837" t="s">
        <v>874</v>
      </c>
      <c r="B37" s="838" t="s">
        <v>554</v>
      </c>
      <c r="C37" s="853" t="s">
        <v>1222</v>
      </c>
      <c r="D37" s="854" t="s">
        <v>1223</v>
      </c>
      <c r="E37" s="855" t="s">
        <v>1224</v>
      </c>
      <c r="F37" s="856">
        <v>30000</v>
      </c>
      <c r="G37" s="857"/>
      <c r="H37" s="857"/>
      <c r="I37" s="879"/>
      <c r="J37" s="880">
        <f t="shared" si="3"/>
        <v>0</v>
      </c>
      <c r="K37" s="860" t="s">
        <v>1225</v>
      </c>
      <c r="L37" s="857"/>
      <c r="M37" s="861">
        <v>0</v>
      </c>
      <c r="N37" s="862">
        <f t="shared" si="4"/>
        <v>0</v>
      </c>
      <c r="O37" s="863"/>
      <c r="P37" s="864"/>
      <c r="Q37" s="864"/>
      <c r="R37" s="865"/>
      <c r="S37" s="866">
        <f t="shared" si="5"/>
        <v>0</v>
      </c>
    </row>
    <row r="38" spans="1:19" ht="58.5" customHeight="1">
      <c r="A38" s="837" t="s">
        <v>875</v>
      </c>
      <c r="B38" s="838" t="s">
        <v>554</v>
      </c>
      <c r="C38" s="853" t="s">
        <v>1226</v>
      </c>
      <c r="D38" s="854" t="s">
        <v>1227</v>
      </c>
      <c r="E38" s="855" t="s">
        <v>576</v>
      </c>
      <c r="F38" s="856">
        <v>200000</v>
      </c>
      <c r="G38" s="857"/>
      <c r="H38" s="857"/>
      <c r="I38" s="879"/>
      <c r="J38" s="880">
        <f t="shared" si="3"/>
        <v>0</v>
      </c>
      <c r="K38" s="860" t="s">
        <v>1228</v>
      </c>
      <c r="L38" s="857"/>
      <c r="M38" s="861">
        <v>0</v>
      </c>
      <c r="N38" s="862">
        <f t="shared" si="4"/>
        <v>0</v>
      </c>
      <c r="O38" s="863"/>
      <c r="P38" s="864"/>
      <c r="Q38" s="864"/>
      <c r="R38" s="865"/>
      <c r="S38" s="866">
        <f t="shared" si="5"/>
        <v>0</v>
      </c>
    </row>
    <row r="39" spans="1:19" ht="82.5" customHeight="1">
      <c r="A39" s="837" t="s">
        <v>876</v>
      </c>
      <c r="B39" s="838" t="s">
        <v>554</v>
      </c>
      <c r="C39" s="853" t="s">
        <v>1229</v>
      </c>
      <c r="D39" s="854" t="s">
        <v>1230</v>
      </c>
      <c r="E39" s="855" t="s">
        <v>590</v>
      </c>
      <c r="F39" s="856">
        <v>99994</v>
      </c>
      <c r="G39" s="857"/>
      <c r="H39" s="857"/>
      <c r="I39" s="879"/>
      <c r="J39" s="880">
        <f t="shared" si="3"/>
        <v>0</v>
      </c>
      <c r="K39" s="860" t="s">
        <v>1231</v>
      </c>
      <c r="L39" s="857"/>
      <c r="M39" s="861">
        <v>0</v>
      </c>
      <c r="N39" s="862">
        <f t="shared" si="4"/>
        <v>0</v>
      </c>
      <c r="O39" s="863"/>
      <c r="P39" s="864"/>
      <c r="Q39" s="864"/>
      <c r="R39" s="865"/>
      <c r="S39" s="866">
        <f t="shared" si="5"/>
        <v>0</v>
      </c>
    </row>
    <row r="40" spans="1:19" ht="81">
      <c r="A40" s="837" t="s">
        <v>877</v>
      </c>
      <c r="B40" s="838" t="s">
        <v>554</v>
      </c>
      <c r="C40" s="853" t="s">
        <v>1232</v>
      </c>
      <c r="D40" s="854" t="s">
        <v>1233</v>
      </c>
      <c r="E40" s="855" t="s">
        <v>576</v>
      </c>
      <c r="F40" s="856"/>
      <c r="G40" s="857"/>
      <c r="H40" s="857"/>
      <c r="I40" s="879"/>
      <c r="J40" s="880">
        <f t="shared" si="3"/>
        <v>0</v>
      </c>
      <c r="K40" s="860" t="str">
        <f>K39</f>
        <v>141/2009./V.27./, 226/2009./VI.24./, 284/2009./IX.9./ sz. és a 372/2009./X.28./ sz. határozatok alapján , elutasítva, fellebbezve</v>
      </c>
      <c r="L40" s="857"/>
      <c r="M40" s="861">
        <v>0</v>
      </c>
      <c r="N40" s="862">
        <f t="shared" si="4"/>
        <v>0</v>
      </c>
      <c r="O40" s="863"/>
      <c r="P40" s="864"/>
      <c r="Q40" s="864"/>
      <c r="R40" s="865"/>
      <c r="S40" s="866">
        <f t="shared" si="5"/>
        <v>0</v>
      </c>
    </row>
    <row r="41" spans="1:19" ht="39.75" customHeight="1">
      <c r="A41" s="837" t="s">
        <v>878</v>
      </c>
      <c r="B41" s="838" t="s">
        <v>554</v>
      </c>
      <c r="C41" s="853" t="s">
        <v>288</v>
      </c>
      <c r="D41" s="854" t="s">
        <v>1234</v>
      </c>
      <c r="E41" s="855" t="s">
        <v>899</v>
      </c>
      <c r="F41" s="856">
        <v>513</v>
      </c>
      <c r="G41" s="857"/>
      <c r="H41" s="857"/>
      <c r="I41" s="879">
        <v>513</v>
      </c>
      <c r="J41" s="880">
        <f t="shared" si="3"/>
        <v>513</v>
      </c>
      <c r="K41" s="860" t="s">
        <v>1235</v>
      </c>
      <c r="L41" s="857"/>
      <c r="M41" s="861">
        <v>0</v>
      </c>
      <c r="N41" s="862">
        <f t="shared" si="4"/>
        <v>0</v>
      </c>
      <c r="O41" s="863"/>
      <c r="P41" s="864"/>
      <c r="Q41" s="864"/>
      <c r="R41" s="865">
        <v>513</v>
      </c>
      <c r="S41" s="866">
        <f t="shared" si="5"/>
        <v>513</v>
      </c>
    </row>
    <row r="42" spans="1:19" ht="39.75" customHeight="1">
      <c r="A42" s="837" t="s">
        <v>879</v>
      </c>
      <c r="B42" s="838" t="s">
        <v>554</v>
      </c>
      <c r="C42" s="853" t="str">
        <f>C41</f>
        <v>Közép-Dunántúli Regionális Fejlesztési Tanács</v>
      </c>
      <c r="D42" s="854" t="s">
        <v>1236</v>
      </c>
      <c r="E42" s="855" t="s">
        <v>899</v>
      </c>
      <c r="F42" s="856">
        <v>1281</v>
      </c>
      <c r="G42" s="857"/>
      <c r="H42" s="857"/>
      <c r="I42" s="879">
        <v>1281</v>
      </c>
      <c r="J42" s="880">
        <f t="shared" si="3"/>
        <v>1281</v>
      </c>
      <c r="K42" s="860" t="str">
        <f>K41</f>
        <v>238/2009./VI.24./ sz. határozat alapján</v>
      </c>
      <c r="L42" s="857"/>
      <c r="M42" s="861">
        <v>0</v>
      </c>
      <c r="N42" s="862">
        <f t="shared" si="4"/>
        <v>0</v>
      </c>
      <c r="O42" s="863"/>
      <c r="P42" s="864"/>
      <c r="Q42" s="864"/>
      <c r="R42" s="865">
        <v>1281</v>
      </c>
      <c r="S42" s="866">
        <f t="shared" si="5"/>
        <v>1281</v>
      </c>
    </row>
    <row r="43" spans="1:19" ht="39.75" customHeight="1">
      <c r="A43" s="837" t="s">
        <v>880</v>
      </c>
      <c r="B43" s="838" t="s">
        <v>554</v>
      </c>
      <c r="C43" s="853" t="str">
        <f>C42</f>
        <v>Közép-Dunántúli Regionális Fejlesztési Tanács</v>
      </c>
      <c r="D43" s="854" t="s">
        <v>1237</v>
      </c>
      <c r="E43" s="855" t="s">
        <v>899</v>
      </c>
      <c r="F43" s="856">
        <v>293</v>
      </c>
      <c r="G43" s="857"/>
      <c r="H43" s="857"/>
      <c r="I43" s="879">
        <v>293</v>
      </c>
      <c r="J43" s="880">
        <f t="shared" si="3"/>
        <v>293</v>
      </c>
      <c r="K43" s="860" t="str">
        <f>K42</f>
        <v>238/2009./VI.24./ sz. határozat alapján</v>
      </c>
      <c r="L43" s="857"/>
      <c r="M43" s="861">
        <v>0</v>
      </c>
      <c r="N43" s="862">
        <f t="shared" si="4"/>
        <v>0</v>
      </c>
      <c r="O43" s="863"/>
      <c r="P43" s="864"/>
      <c r="Q43" s="864"/>
      <c r="R43" s="865">
        <v>293</v>
      </c>
      <c r="S43" s="866">
        <f t="shared" si="5"/>
        <v>293</v>
      </c>
    </row>
    <row r="44" spans="1:19" ht="82.5" customHeight="1">
      <c r="A44" s="837" t="s">
        <v>881</v>
      </c>
      <c r="B44" s="838" t="s">
        <v>554</v>
      </c>
      <c r="C44" s="853" t="s">
        <v>1238</v>
      </c>
      <c r="D44" s="854" t="s">
        <v>1239</v>
      </c>
      <c r="E44" s="855" t="s">
        <v>1240</v>
      </c>
      <c r="F44" s="856">
        <v>135000</v>
      </c>
      <c r="G44" s="857"/>
      <c r="H44" s="857"/>
      <c r="I44" s="879"/>
      <c r="J44" s="880">
        <f t="shared" si="3"/>
        <v>0</v>
      </c>
      <c r="K44" s="860" t="s">
        <v>1241</v>
      </c>
      <c r="L44" s="857"/>
      <c r="M44" s="861">
        <v>0</v>
      </c>
      <c r="N44" s="862">
        <f t="shared" si="4"/>
        <v>0</v>
      </c>
      <c r="O44" s="863"/>
      <c r="P44" s="864"/>
      <c r="Q44" s="864"/>
      <c r="R44" s="865"/>
      <c r="S44" s="866">
        <f t="shared" si="5"/>
        <v>0</v>
      </c>
    </row>
    <row r="45" spans="1:19" ht="81">
      <c r="A45" s="837" t="s">
        <v>882</v>
      </c>
      <c r="B45" s="838" t="s">
        <v>554</v>
      </c>
      <c r="C45" s="853" t="s">
        <v>1242</v>
      </c>
      <c r="D45" s="854" t="s">
        <v>1243</v>
      </c>
      <c r="E45" s="855" t="s">
        <v>576</v>
      </c>
      <c r="F45" s="856"/>
      <c r="G45" s="857"/>
      <c r="H45" s="857"/>
      <c r="I45" s="879"/>
      <c r="J45" s="880">
        <f t="shared" si="3"/>
        <v>0</v>
      </c>
      <c r="K45" s="860" t="s">
        <v>1244</v>
      </c>
      <c r="L45" s="857"/>
      <c r="M45" s="861">
        <v>0</v>
      </c>
      <c r="N45" s="862">
        <f t="shared" si="4"/>
        <v>0</v>
      </c>
      <c r="O45" s="863"/>
      <c r="P45" s="864"/>
      <c r="Q45" s="864"/>
      <c r="R45" s="865"/>
      <c r="S45" s="866">
        <f t="shared" si="5"/>
        <v>0</v>
      </c>
    </row>
    <row r="46" spans="1:19" ht="39.75" customHeight="1">
      <c r="A46" s="837" t="s">
        <v>886</v>
      </c>
      <c r="B46" s="838" t="s">
        <v>1245</v>
      </c>
      <c r="C46" s="853" t="s">
        <v>1246</v>
      </c>
      <c r="D46" s="854" t="s">
        <v>1247</v>
      </c>
      <c r="E46" s="855" t="s">
        <v>576</v>
      </c>
      <c r="F46" s="856"/>
      <c r="G46" s="857"/>
      <c r="H46" s="857"/>
      <c r="I46" s="879"/>
      <c r="J46" s="880">
        <f t="shared" si="3"/>
        <v>0</v>
      </c>
      <c r="K46" s="860" t="s">
        <v>1248</v>
      </c>
      <c r="L46" s="857"/>
      <c r="M46" s="861">
        <v>0</v>
      </c>
      <c r="N46" s="862">
        <f t="shared" si="4"/>
        <v>0</v>
      </c>
      <c r="O46" s="863"/>
      <c r="P46" s="864"/>
      <c r="Q46" s="864"/>
      <c r="R46" s="865"/>
      <c r="S46" s="866">
        <f t="shared" si="5"/>
        <v>0</v>
      </c>
    </row>
    <row r="47" spans="1:19" ht="39.75" customHeight="1">
      <c r="A47" s="837" t="s">
        <v>888</v>
      </c>
      <c r="B47" s="838" t="s">
        <v>554</v>
      </c>
      <c r="C47" s="853" t="s">
        <v>1249</v>
      </c>
      <c r="D47" s="854" t="s">
        <v>1250</v>
      </c>
      <c r="E47" s="855" t="s">
        <v>576</v>
      </c>
      <c r="F47" s="856"/>
      <c r="G47" s="857"/>
      <c r="H47" s="857"/>
      <c r="I47" s="879"/>
      <c r="J47" s="880">
        <f t="shared" si="3"/>
        <v>0</v>
      </c>
      <c r="K47" s="860" t="s">
        <v>1248</v>
      </c>
      <c r="L47" s="857"/>
      <c r="M47" s="861">
        <v>0</v>
      </c>
      <c r="N47" s="862">
        <f t="shared" si="4"/>
        <v>0</v>
      </c>
      <c r="O47" s="863"/>
      <c r="P47" s="864"/>
      <c r="Q47" s="864"/>
      <c r="R47" s="865"/>
      <c r="S47" s="866">
        <f t="shared" si="5"/>
        <v>0</v>
      </c>
    </row>
    <row r="48" spans="1:19" ht="39.75" customHeight="1">
      <c r="A48" s="837" t="s">
        <v>893</v>
      </c>
      <c r="B48" s="838" t="s">
        <v>554</v>
      </c>
      <c r="C48" s="853" t="s">
        <v>574</v>
      </c>
      <c r="D48" s="854" t="s">
        <v>1251</v>
      </c>
      <c r="E48" s="855" t="s">
        <v>576</v>
      </c>
      <c r="F48" s="856"/>
      <c r="G48" s="857"/>
      <c r="H48" s="857"/>
      <c r="I48" s="879"/>
      <c r="J48" s="880">
        <f t="shared" si="3"/>
        <v>0</v>
      </c>
      <c r="K48" s="860" t="s">
        <v>1248</v>
      </c>
      <c r="L48" s="857"/>
      <c r="M48" s="861">
        <v>0</v>
      </c>
      <c r="N48" s="862">
        <f t="shared" si="4"/>
        <v>0</v>
      </c>
      <c r="O48" s="863"/>
      <c r="P48" s="864"/>
      <c r="Q48" s="864"/>
      <c r="R48" s="865"/>
      <c r="S48" s="866">
        <f t="shared" si="5"/>
        <v>0</v>
      </c>
    </row>
    <row r="49" spans="1:19" ht="63.75" customHeight="1">
      <c r="A49" s="837" t="s">
        <v>895</v>
      </c>
      <c r="B49" s="838" t="s">
        <v>554</v>
      </c>
      <c r="C49" s="853" t="str">
        <f>C48</f>
        <v>KDOP-2.1.1/B</v>
      </c>
      <c r="D49" s="854" t="s">
        <v>1252</v>
      </c>
      <c r="E49" s="855" t="s">
        <v>566</v>
      </c>
      <c r="F49" s="856">
        <v>318885</v>
      </c>
      <c r="G49" s="857"/>
      <c r="H49" s="857"/>
      <c r="I49" s="879"/>
      <c r="J49" s="880">
        <f t="shared" si="3"/>
        <v>0</v>
      </c>
      <c r="K49" s="860" t="s">
        <v>1253</v>
      </c>
      <c r="L49" s="857"/>
      <c r="M49" s="861">
        <v>0</v>
      </c>
      <c r="N49" s="862">
        <f t="shared" si="4"/>
        <v>0</v>
      </c>
      <c r="O49" s="863"/>
      <c r="P49" s="864"/>
      <c r="Q49" s="864"/>
      <c r="R49" s="865"/>
      <c r="S49" s="866">
        <f t="shared" si="5"/>
        <v>0</v>
      </c>
    </row>
    <row r="50" spans="1:19" ht="63.75" customHeight="1">
      <c r="A50" s="837" t="s">
        <v>897</v>
      </c>
      <c r="B50" s="838" t="s">
        <v>554</v>
      </c>
      <c r="C50" s="853" t="s">
        <v>1254</v>
      </c>
      <c r="D50" s="854" t="s">
        <v>1255</v>
      </c>
      <c r="E50" s="855" t="s">
        <v>563</v>
      </c>
      <c r="F50" s="856">
        <v>49540</v>
      </c>
      <c r="G50" s="857"/>
      <c r="H50" s="857"/>
      <c r="I50" s="879"/>
      <c r="J50" s="880">
        <f t="shared" si="3"/>
        <v>0</v>
      </c>
      <c r="K50" s="860" t="s">
        <v>1256</v>
      </c>
      <c r="L50" s="857"/>
      <c r="M50" s="861">
        <v>0</v>
      </c>
      <c r="N50" s="862">
        <f t="shared" si="4"/>
        <v>0</v>
      </c>
      <c r="O50" s="863"/>
      <c r="P50" s="864"/>
      <c r="Q50" s="864"/>
      <c r="R50" s="865"/>
      <c r="S50" s="866">
        <f t="shared" si="5"/>
        <v>0</v>
      </c>
    </row>
    <row r="51" spans="1:19" ht="58.5" customHeight="1">
      <c r="A51" s="837" t="s">
        <v>898</v>
      </c>
      <c r="B51" s="838" t="s">
        <v>554</v>
      </c>
      <c r="C51" s="853" t="s">
        <v>1257</v>
      </c>
      <c r="D51" s="854" t="s">
        <v>1258</v>
      </c>
      <c r="E51" s="855" t="s">
        <v>1259</v>
      </c>
      <c r="F51" s="856">
        <v>699427</v>
      </c>
      <c r="G51" s="857"/>
      <c r="H51" s="857"/>
      <c r="I51" s="879"/>
      <c r="J51" s="880">
        <f t="shared" si="3"/>
        <v>0</v>
      </c>
      <c r="K51" s="860" t="s">
        <v>1260</v>
      </c>
      <c r="L51" s="857"/>
      <c r="M51" s="861">
        <v>0</v>
      </c>
      <c r="N51" s="862">
        <f t="shared" si="4"/>
        <v>0</v>
      </c>
      <c r="O51" s="863"/>
      <c r="P51" s="864"/>
      <c r="Q51" s="864"/>
      <c r="R51" s="865"/>
      <c r="S51" s="866">
        <f t="shared" si="5"/>
        <v>0</v>
      </c>
    </row>
    <row r="52" spans="1:19" ht="58.5" customHeight="1">
      <c r="A52" s="837" t="s">
        <v>900</v>
      </c>
      <c r="B52" s="838" t="s">
        <v>554</v>
      </c>
      <c r="C52" s="853" t="s">
        <v>1261</v>
      </c>
      <c r="D52" s="854" t="s">
        <v>1262</v>
      </c>
      <c r="E52" s="855" t="s">
        <v>576</v>
      </c>
      <c r="F52" s="856"/>
      <c r="G52" s="857"/>
      <c r="H52" s="857"/>
      <c r="I52" s="879"/>
      <c r="J52" s="880">
        <f t="shared" si="3"/>
        <v>0</v>
      </c>
      <c r="K52" s="860" t="s">
        <v>1263</v>
      </c>
      <c r="L52" s="857"/>
      <c r="M52" s="861">
        <v>0</v>
      </c>
      <c r="N52" s="862">
        <f t="shared" si="4"/>
        <v>0</v>
      </c>
      <c r="O52" s="863"/>
      <c r="P52" s="864"/>
      <c r="Q52" s="864"/>
      <c r="R52" s="865"/>
      <c r="S52" s="866">
        <f t="shared" si="5"/>
        <v>0</v>
      </c>
    </row>
    <row r="53" spans="1:19" ht="39.75" customHeight="1">
      <c r="A53" s="837" t="s">
        <v>901</v>
      </c>
      <c r="B53" s="838" t="s">
        <v>554</v>
      </c>
      <c r="C53" s="853" t="s">
        <v>1264</v>
      </c>
      <c r="D53" s="854" t="s">
        <v>1265</v>
      </c>
      <c r="E53" s="855" t="s">
        <v>576</v>
      </c>
      <c r="F53" s="856"/>
      <c r="G53" s="857"/>
      <c r="H53" s="857"/>
      <c r="I53" s="879"/>
      <c r="J53" s="880">
        <f t="shared" si="3"/>
        <v>0</v>
      </c>
      <c r="K53" s="860" t="s">
        <v>1248</v>
      </c>
      <c r="L53" s="857"/>
      <c r="M53" s="861">
        <v>0</v>
      </c>
      <c r="N53" s="862">
        <f t="shared" si="4"/>
        <v>0</v>
      </c>
      <c r="O53" s="863"/>
      <c r="P53" s="864"/>
      <c r="Q53" s="864"/>
      <c r="R53" s="865"/>
      <c r="S53" s="866">
        <f t="shared" si="5"/>
        <v>0</v>
      </c>
    </row>
    <row r="54" spans="1:19" ht="39.75" customHeight="1">
      <c r="A54" s="837" t="s">
        <v>902</v>
      </c>
      <c r="B54" s="838" t="s">
        <v>554</v>
      </c>
      <c r="C54" s="853" t="s">
        <v>1266</v>
      </c>
      <c r="D54" s="854" t="s">
        <v>1267</v>
      </c>
      <c r="E54" s="855" t="s">
        <v>1268</v>
      </c>
      <c r="F54" s="856">
        <v>44059</v>
      </c>
      <c r="G54" s="857"/>
      <c r="H54" s="857"/>
      <c r="I54" s="879"/>
      <c r="J54" s="880">
        <f t="shared" si="3"/>
        <v>0</v>
      </c>
      <c r="K54" s="860" t="s">
        <v>1269</v>
      </c>
      <c r="L54" s="857"/>
      <c r="M54" s="861">
        <v>0</v>
      </c>
      <c r="N54" s="862">
        <f t="shared" si="4"/>
        <v>0</v>
      </c>
      <c r="O54" s="863"/>
      <c r="P54" s="864"/>
      <c r="Q54" s="864"/>
      <c r="R54" s="865"/>
      <c r="S54" s="866">
        <f t="shared" si="5"/>
        <v>0</v>
      </c>
    </row>
    <row r="55" spans="1:19" ht="39.75" customHeight="1">
      <c r="A55" s="837" t="s">
        <v>285</v>
      </c>
      <c r="B55" s="838" t="s">
        <v>554</v>
      </c>
      <c r="C55" s="853" t="s">
        <v>351</v>
      </c>
      <c r="D55" s="854" t="s">
        <v>1270</v>
      </c>
      <c r="E55" s="855" t="s">
        <v>321</v>
      </c>
      <c r="F55" s="856">
        <v>1958</v>
      </c>
      <c r="G55" s="857"/>
      <c r="H55" s="857"/>
      <c r="I55" s="879">
        <v>1958</v>
      </c>
      <c r="J55" s="880">
        <f t="shared" si="3"/>
        <v>1958</v>
      </c>
      <c r="K55" s="860" t="s">
        <v>329</v>
      </c>
      <c r="L55" s="857"/>
      <c r="M55" s="861">
        <v>0</v>
      </c>
      <c r="N55" s="862">
        <f t="shared" si="4"/>
        <v>0</v>
      </c>
      <c r="O55" s="863"/>
      <c r="P55" s="864">
        <v>1958</v>
      </c>
      <c r="Q55" s="864"/>
      <c r="R55" s="865"/>
      <c r="S55" s="866">
        <f t="shared" si="5"/>
        <v>1958</v>
      </c>
    </row>
    <row r="56" spans="1:19" ht="38.25" customHeight="1">
      <c r="A56" s="837" t="s">
        <v>286</v>
      </c>
      <c r="B56" s="838" t="s">
        <v>554</v>
      </c>
      <c r="C56" s="853" t="s">
        <v>328</v>
      </c>
      <c r="D56" s="854" t="s">
        <v>1271</v>
      </c>
      <c r="E56" s="855" t="s">
        <v>310</v>
      </c>
      <c r="F56" s="856">
        <v>1200</v>
      </c>
      <c r="G56" s="857"/>
      <c r="H56" s="857"/>
      <c r="I56" s="879">
        <v>1200</v>
      </c>
      <c r="J56" s="880">
        <f t="shared" si="3"/>
        <v>1200</v>
      </c>
      <c r="K56" s="860" t="s">
        <v>329</v>
      </c>
      <c r="L56" s="857"/>
      <c r="M56" s="861">
        <v>0</v>
      </c>
      <c r="N56" s="862">
        <f t="shared" si="4"/>
        <v>0</v>
      </c>
      <c r="O56" s="863"/>
      <c r="P56" s="864">
        <v>1200</v>
      </c>
      <c r="Q56" s="864"/>
      <c r="R56" s="865"/>
      <c r="S56" s="866">
        <f t="shared" si="5"/>
        <v>1200</v>
      </c>
    </row>
    <row r="57" spans="1:19" ht="83.25" customHeight="1">
      <c r="A57" s="837" t="s">
        <v>287</v>
      </c>
      <c r="B57" s="838" t="s">
        <v>554</v>
      </c>
      <c r="C57" s="853" t="s">
        <v>1272</v>
      </c>
      <c r="D57" s="854" t="s">
        <v>597</v>
      </c>
      <c r="E57" s="855" t="s">
        <v>335</v>
      </c>
      <c r="F57" s="881" t="s">
        <v>598</v>
      </c>
      <c r="G57" s="857"/>
      <c r="H57" s="857"/>
      <c r="I57" s="882" t="s">
        <v>598</v>
      </c>
      <c r="J57" s="883" t="s">
        <v>598</v>
      </c>
      <c r="K57" s="860" t="s">
        <v>599</v>
      </c>
      <c r="L57" s="857"/>
      <c r="M57" s="861">
        <v>0</v>
      </c>
      <c r="N57" s="862">
        <f t="shared" si="4"/>
        <v>0</v>
      </c>
      <c r="O57" s="863"/>
      <c r="P57" s="864"/>
      <c r="Q57" s="864"/>
      <c r="R57" s="865"/>
      <c r="S57" s="866">
        <f t="shared" si="5"/>
        <v>0</v>
      </c>
    </row>
    <row r="58" spans="1:19" ht="39.75" customHeight="1">
      <c r="A58" s="837" t="s">
        <v>289</v>
      </c>
      <c r="B58" s="838" t="s">
        <v>554</v>
      </c>
      <c r="C58" s="853" t="s">
        <v>600</v>
      </c>
      <c r="D58" s="854" t="s">
        <v>601</v>
      </c>
      <c r="E58" s="855" t="s">
        <v>576</v>
      </c>
      <c r="F58" s="856"/>
      <c r="G58" s="857"/>
      <c r="H58" s="857"/>
      <c r="I58" s="879"/>
      <c r="J58" s="880">
        <f>SUM(G58:I58)</f>
        <v>0</v>
      </c>
      <c r="K58" s="860" t="s">
        <v>602</v>
      </c>
      <c r="L58" s="857"/>
      <c r="M58" s="861">
        <v>0</v>
      </c>
      <c r="N58" s="862">
        <f t="shared" si="4"/>
        <v>0</v>
      </c>
      <c r="O58" s="863"/>
      <c r="P58" s="864"/>
      <c r="Q58" s="864"/>
      <c r="R58" s="865"/>
      <c r="S58" s="866">
        <f t="shared" si="5"/>
        <v>0</v>
      </c>
    </row>
    <row r="59" spans="1:19" ht="39.75" customHeight="1">
      <c r="A59" s="837" t="s">
        <v>290</v>
      </c>
      <c r="B59" s="838" t="s">
        <v>554</v>
      </c>
      <c r="C59" s="853" t="s">
        <v>603</v>
      </c>
      <c r="D59" s="854" t="s">
        <v>604</v>
      </c>
      <c r="E59" s="855" t="s">
        <v>605</v>
      </c>
      <c r="F59" s="856"/>
      <c r="G59" s="857"/>
      <c r="H59" s="857"/>
      <c r="I59" s="879"/>
      <c r="J59" s="880">
        <f aca="true" t="shared" si="6" ref="J59:J74">SUM(G59:I59)</f>
        <v>0</v>
      </c>
      <c r="K59" s="860" t="s">
        <v>606</v>
      </c>
      <c r="L59" s="857"/>
      <c r="M59" s="861">
        <v>0</v>
      </c>
      <c r="N59" s="862">
        <f t="shared" si="4"/>
        <v>0</v>
      </c>
      <c r="O59" s="863"/>
      <c r="P59" s="864"/>
      <c r="Q59" s="864"/>
      <c r="R59" s="865"/>
      <c r="S59" s="866">
        <f t="shared" si="5"/>
        <v>0</v>
      </c>
    </row>
    <row r="60" spans="1:19" ht="83.25" customHeight="1">
      <c r="A60" s="837" t="s">
        <v>292</v>
      </c>
      <c r="B60" s="838" t="s">
        <v>554</v>
      </c>
      <c r="C60" s="853" t="s">
        <v>607</v>
      </c>
      <c r="D60" s="854" t="s">
        <v>608</v>
      </c>
      <c r="E60" s="855" t="s">
        <v>609</v>
      </c>
      <c r="F60" s="856">
        <v>76266</v>
      </c>
      <c r="G60" s="857"/>
      <c r="H60" s="857"/>
      <c r="I60" s="879"/>
      <c r="J60" s="880">
        <f t="shared" si="6"/>
        <v>0</v>
      </c>
      <c r="K60" s="860" t="s">
        <v>610</v>
      </c>
      <c r="L60" s="857"/>
      <c r="M60" s="861">
        <v>0</v>
      </c>
      <c r="N60" s="862">
        <f t="shared" si="4"/>
        <v>0</v>
      </c>
      <c r="O60" s="863"/>
      <c r="P60" s="864"/>
      <c r="Q60" s="864"/>
      <c r="R60" s="865"/>
      <c r="S60" s="866">
        <f t="shared" si="5"/>
        <v>0</v>
      </c>
    </row>
    <row r="61" spans="1:19" ht="39.75" customHeight="1">
      <c r="A61" s="837" t="s">
        <v>294</v>
      </c>
      <c r="B61" s="838" t="s">
        <v>554</v>
      </c>
      <c r="C61" s="853" t="s">
        <v>328</v>
      </c>
      <c r="D61" s="868" t="s">
        <v>352</v>
      </c>
      <c r="E61" s="855" t="s">
        <v>310</v>
      </c>
      <c r="F61" s="856">
        <v>13000</v>
      </c>
      <c r="G61" s="857"/>
      <c r="H61" s="857"/>
      <c r="I61" s="879">
        <v>13303</v>
      </c>
      <c r="J61" s="880">
        <f t="shared" si="6"/>
        <v>13303</v>
      </c>
      <c r="K61" s="860" t="s">
        <v>611</v>
      </c>
      <c r="L61" s="857"/>
      <c r="M61" s="861">
        <v>0</v>
      </c>
      <c r="N61" s="862">
        <f t="shared" si="4"/>
        <v>0</v>
      </c>
      <c r="O61" s="863"/>
      <c r="P61" s="864"/>
      <c r="Q61" s="864"/>
      <c r="R61" s="865"/>
      <c r="S61" s="866">
        <f t="shared" si="5"/>
        <v>0</v>
      </c>
    </row>
    <row r="62" spans="1:19" ht="115.5" customHeight="1">
      <c r="A62" s="837" t="s">
        <v>296</v>
      </c>
      <c r="B62" s="838" t="s">
        <v>554</v>
      </c>
      <c r="C62" s="853" t="s">
        <v>612</v>
      </c>
      <c r="D62" s="854" t="s">
        <v>613</v>
      </c>
      <c r="E62" s="855" t="s">
        <v>576</v>
      </c>
      <c r="F62" s="856">
        <v>54000</v>
      </c>
      <c r="G62" s="857"/>
      <c r="H62" s="857"/>
      <c r="I62" s="879"/>
      <c r="J62" s="880">
        <f t="shared" si="6"/>
        <v>0</v>
      </c>
      <c r="K62" s="860" t="s">
        <v>614</v>
      </c>
      <c r="L62" s="857"/>
      <c r="M62" s="861">
        <v>0</v>
      </c>
      <c r="N62" s="862">
        <f t="shared" si="4"/>
        <v>0</v>
      </c>
      <c r="O62" s="863"/>
      <c r="P62" s="864"/>
      <c r="Q62" s="864"/>
      <c r="R62" s="865"/>
      <c r="S62" s="866">
        <f t="shared" si="5"/>
        <v>0</v>
      </c>
    </row>
    <row r="63" spans="1:19" ht="83.25" customHeight="1">
      <c r="A63" s="837" t="s">
        <v>297</v>
      </c>
      <c r="B63" s="838" t="s">
        <v>554</v>
      </c>
      <c r="C63" s="853" t="s">
        <v>615</v>
      </c>
      <c r="D63" s="854" t="s">
        <v>616</v>
      </c>
      <c r="E63" s="855" t="s">
        <v>335</v>
      </c>
      <c r="F63" s="856">
        <v>34695</v>
      </c>
      <c r="G63" s="857"/>
      <c r="H63" s="857"/>
      <c r="I63" s="879"/>
      <c r="J63" s="880">
        <f t="shared" si="6"/>
        <v>0</v>
      </c>
      <c r="K63" s="860" t="s">
        <v>617</v>
      </c>
      <c r="L63" s="857"/>
      <c r="M63" s="861">
        <v>0</v>
      </c>
      <c r="N63" s="862">
        <f t="shared" si="4"/>
        <v>0</v>
      </c>
      <c r="O63" s="863"/>
      <c r="P63" s="864"/>
      <c r="Q63" s="864"/>
      <c r="R63" s="865"/>
      <c r="S63" s="866">
        <f t="shared" si="5"/>
        <v>0</v>
      </c>
    </row>
    <row r="64" spans="1:19" ht="141.75">
      <c r="A64" s="837" t="s">
        <v>298</v>
      </c>
      <c r="B64" s="838" t="s">
        <v>554</v>
      </c>
      <c r="C64" s="855" t="s">
        <v>618</v>
      </c>
      <c r="D64" s="854" t="s">
        <v>619</v>
      </c>
      <c r="E64" s="855" t="s">
        <v>335</v>
      </c>
      <c r="F64" s="856">
        <v>38000</v>
      </c>
      <c r="G64" s="857"/>
      <c r="H64" s="857"/>
      <c r="I64" s="879"/>
      <c r="J64" s="880">
        <f t="shared" si="6"/>
        <v>0</v>
      </c>
      <c r="K64" s="860" t="s">
        <v>620</v>
      </c>
      <c r="L64" s="857"/>
      <c r="M64" s="861">
        <v>0</v>
      </c>
      <c r="N64" s="862">
        <f t="shared" si="4"/>
        <v>0</v>
      </c>
      <c r="O64" s="863"/>
      <c r="P64" s="864"/>
      <c r="Q64" s="864"/>
      <c r="R64" s="865"/>
      <c r="S64" s="866">
        <f t="shared" si="5"/>
        <v>0</v>
      </c>
    </row>
    <row r="65" spans="1:19" ht="103.5" customHeight="1">
      <c r="A65" s="837" t="s">
        <v>301</v>
      </c>
      <c r="B65" s="838" t="s">
        <v>554</v>
      </c>
      <c r="C65" s="884" t="s">
        <v>621</v>
      </c>
      <c r="D65" s="854" t="s">
        <v>622</v>
      </c>
      <c r="E65" s="855" t="s">
        <v>335</v>
      </c>
      <c r="F65" s="856">
        <v>17100</v>
      </c>
      <c r="G65" s="857"/>
      <c r="H65" s="857"/>
      <c r="I65" s="879"/>
      <c r="J65" s="880">
        <f t="shared" si="6"/>
        <v>0</v>
      </c>
      <c r="K65" s="860" t="s">
        <v>623</v>
      </c>
      <c r="L65" s="857"/>
      <c r="M65" s="861">
        <v>0</v>
      </c>
      <c r="N65" s="862">
        <f t="shared" si="4"/>
        <v>0</v>
      </c>
      <c r="O65" s="863"/>
      <c r="P65" s="864"/>
      <c r="Q65" s="864"/>
      <c r="R65" s="865"/>
      <c r="S65" s="866">
        <f t="shared" si="5"/>
        <v>0</v>
      </c>
    </row>
    <row r="66" spans="1:19" ht="62.25" customHeight="1">
      <c r="A66" s="837" t="s">
        <v>304</v>
      </c>
      <c r="B66" s="838" t="s">
        <v>554</v>
      </c>
      <c r="C66" s="853" t="s">
        <v>624</v>
      </c>
      <c r="D66" s="854" t="s">
        <v>625</v>
      </c>
      <c r="E66" s="855" t="s">
        <v>561</v>
      </c>
      <c r="F66" s="856"/>
      <c r="G66" s="857"/>
      <c r="H66" s="857"/>
      <c r="I66" s="879"/>
      <c r="J66" s="880">
        <f t="shared" si="6"/>
        <v>0</v>
      </c>
      <c r="K66" s="860" t="s">
        <v>626</v>
      </c>
      <c r="L66" s="857"/>
      <c r="M66" s="861">
        <v>0</v>
      </c>
      <c r="N66" s="862">
        <f t="shared" si="4"/>
        <v>0</v>
      </c>
      <c r="O66" s="863"/>
      <c r="P66" s="864"/>
      <c r="Q66" s="864"/>
      <c r="R66" s="865"/>
      <c r="S66" s="866">
        <f t="shared" si="5"/>
        <v>0</v>
      </c>
    </row>
    <row r="67" spans="1:19" ht="38.25" customHeight="1">
      <c r="A67" s="837" t="s">
        <v>305</v>
      </c>
      <c r="B67" s="838" t="s">
        <v>554</v>
      </c>
      <c r="C67" s="853" t="s">
        <v>351</v>
      </c>
      <c r="D67" s="854" t="s">
        <v>627</v>
      </c>
      <c r="E67" s="855" t="s">
        <v>310</v>
      </c>
      <c r="F67" s="856">
        <v>2755</v>
      </c>
      <c r="G67" s="857"/>
      <c r="H67" s="857"/>
      <c r="I67" s="879">
        <v>2755</v>
      </c>
      <c r="J67" s="880">
        <f t="shared" si="6"/>
        <v>2755</v>
      </c>
      <c r="K67" s="860" t="s">
        <v>329</v>
      </c>
      <c r="L67" s="857"/>
      <c r="M67" s="861">
        <v>0</v>
      </c>
      <c r="N67" s="862">
        <f t="shared" si="4"/>
        <v>0</v>
      </c>
      <c r="O67" s="863"/>
      <c r="P67" s="864"/>
      <c r="Q67" s="864"/>
      <c r="R67" s="865"/>
      <c r="S67" s="866">
        <f t="shared" si="5"/>
        <v>0</v>
      </c>
    </row>
    <row r="68" spans="1:19" ht="39.75" customHeight="1">
      <c r="A68" s="837" t="s">
        <v>306</v>
      </c>
      <c r="B68" s="838" t="s">
        <v>554</v>
      </c>
      <c r="C68" s="853" t="s">
        <v>351</v>
      </c>
      <c r="D68" s="854" t="s">
        <v>628</v>
      </c>
      <c r="E68" s="855" t="s">
        <v>891</v>
      </c>
      <c r="F68" s="856">
        <v>1406</v>
      </c>
      <c r="G68" s="857"/>
      <c r="H68" s="857"/>
      <c r="I68" s="879">
        <v>1406</v>
      </c>
      <c r="J68" s="880">
        <f t="shared" si="6"/>
        <v>1406</v>
      </c>
      <c r="K68" s="860" t="s">
        <v>329</v>
      </c>
      <c r="L68" s="857"/>
      <c r="M68" s="861">
        <v>0</v>
      </c>
      <c r="N68" s="862">
        <f t="shared" si="4"/>
        <v>0</v>
      </c>
      <c r="O68" s="863"/>
      <c r="P68" s="864"/>
      <c r="Q68" s="864"/>
      <c r="R68" s="865"/>
      <c r="S68" s="866">
        <f t="shared" si="5"/>
        <v>0</v>
      </c>
    </row>
    <row r="69" spans="1:19" ht="39.75" customHeight="1">
      <c r="A69" s="837" t="s">
        <v>307</v>
      </c>
      <c r="B69" s="838" t="s">
        <v>554</v>
      </c>
      <c r="C69" s="853" t="s">
        <v>629</v>
      </c>
      <c r="D69" s="854" t="s">
        <v>630</v>
      </c>
      <c r="E69" s="855" t="s">
        <v>631</v>
      </c>
      <c r="F69" s="856"/>
      <c r="G69" s="857"/>
      <c r="H69" s="857"/>
      <c r="I69" s="879">
        <v>249</v>
      </c>
      <c r="J69" s="880">
        <f t="shared" si="6"/>
        <v>249</v>
      </c>
      <c r="K69" s="860" t="s">
        <v>329</v>
      </c>
      <c r="L69" s="857"/>
      <c r="M69" s="861">
        <v>0</v>
      </c>
      <c r="N69" s="862">
        <f t="shared" si="4"/>
        <v>0</v>
      </c>
      <c r="O69" s="863"/>
      <c r="P69" s="864"/>
      <c r="Q69" s="864">
        <v>180</v>
      </c>
      <c r="R69" s="865"/>
      <c r="S69" s="866">
        <f t="shared" si="5"/>
        <v>180</v>
      </c>
    </row>
    <row r="70" spans="1:19" ht="39.75" customHeight="1">
      <c r="A70" s="837" t="s">
        <v>312</v>
      </c>
      <c r="B70" s="838" t="s">
        <v>554</v>
      </c>
      <c r="C70" s="853" t="s">
        <v>632</v>
      </c>
      <c r="D70" s="854" t="s">
        <v>633</v>
      </c>
      <c r="E70" s="855" t="s">
        <v>1240</v>
      </c>
      <c r="F70" s="856">
        <v>700</v>
      </c>
      <c r="G70" s="857"/>
      <c r="H70" s="857"/>
      <c r="I70" s="879">
        <v>700</v>
      </c>
      <c r="J70" s="880">
        <f t="shared" si="6"/>
        <v>700</v>
      </c>
      <c r="K70" s="860" t="s">
        <v>634</v>
      </c>
      <c r="L70" s="857"/>
      <c r="M70" s="861">
        <v>0</v>
      </c>
      <c r="N70" s="862">
        <f t="shared" si="4"/>
        <v>0</v>
      </c>
      <c r="O70" s="863"/>
      <c r="P70" s="864"/>
      <c r="Q70" s="864"/>
      <c r="R70" s="865"/>
      <c r="S70" s="866">
        <f t="shared" si="5"/>
        <v>0</v>
      </c>
    </row>
    <row r="71" spans="1:19" ht="42" customHeight="1">
      <c r="A71" s="837" t="s">
        <v>316</v>
      </c>
      <c r="B71" s="838" t="s">
        <v>554</v>
      </c>
      <c r="C71" s="853" t="s">
        <v>635</v>
      </c>
      <c r="D71" s="854" t="s">
        <v>636</v>
      </c>
      <c r="E71" s="855" t="s">
        <v>637</v>
      </c>
      <c r="F71" s="856">
        <v>1320</v>
      </c>
      <c r="G71" s="857"/>
      <c r="H71" s="857"/>
      <c r="I71" s="879">
        <v>1320</v>
      </c>
      <c r="J71" s="880">
        <f t="shared" si="6"/>
        <v>1320</v>
      </c>
      <c r="K71" s="860" t="s">
        <v>638</v>
      </c>
      <c r="L71" s="857"/>
      <c r="M71" s="861">
        <v>0</v>
      </c>
      <c r="N71" s="862">
        <f t="shared" si="4"/>
        <v>0</v>
      </c>
      <c r="O71" s="863"/>
      <c r="P71" s="864"/>
      <c r="Q71" s="864"/>
      <c r="R71" s="865"/>
      <c r="S71" s="866">
        <f t="shared" si="5"/>
        <v>0</v>
      </c>
    </row>
    <row r="72" spans="1:19" ht="43.5" customHeight="1">
      <c r="A72" s="837" t="s">
        <v>317</v>
      </c>
      <c r="B72" s="838" t="s">
        <v>554</v>
      </c>
      <c r="C72" s="853" t="s">
        <v>635</v>
      </c>
      <c r="D72" s="854" t="s">
        <v>639</v>
      </c>
      <c r="E72" s="855" t="s">
        <v>637</v>
      </c>
      <c r="F72" s="856">
        <v>8000</v>
      </c>
      <c r="G72" s="857"/>
      <c r="H72" s="857"/>
      <c r="I72" s="879">
        <v>8000</v>
      </c>
      <c r="J72" s="880">
        <f t="shared" si="6"/>
        <v>8000</v>
      </c>
      <c r="K72" s="860" t="s">
        <v>640</v>
      </c>
      <c r="L72" s="857"/>
      <c r="M72" s="861">
        <v>0</v>
      </c>
      <c r="N72" s="862">
        <f t="shared" si="4"/>
        <v>0</v>
      </c>
      <c r="O72" s="863"/>
      <c r="P72" s="864"/>
      <c r="Q72" s="864"/>
      <c r="R72" s="865"/>
      <c r="S72" s="866">
        <f t="shared" si="5"/>
        <v>0</v>
      </c>
    </row>
    <row r="73" spans="1:19" ht="39.75" customHeight="1">
      <c r="A73" s="837" t="s">
        <v>320</v>
      </c>
      <c r="B73" s="838" t="str">
        <f>B72</f>
        <v>2009.</v>
      </c>
      <c r="C73" s="853" t="str">
        <f>C72</f>
        <v>Foglalkoztatási és Szociális Hivatal</v>
      </c>
      <c r="D73" s="854" t="s">
        <v>636</v>
      </c>
      <c r="E73" s="855" t="s">
        <v>637</v>
      </c>
      <c r="F73" s="856">
        <v>17002</v>
      </c>
      <c r="G73" s="857"/>
      <c r="H73" s="857"/>
      <c r="I73" s="879">
        <v>17002</v>
      </c>
      <c r="J73" s="880">
        <f t="shared" si="6"/>
        <v>17002</v>
      </c>
      <c r="K73" s="860" t="s">
        <v>641</v>
      </c>
      <c r="L73" s="857"/>
      <c r="M73" s="861">
        <v>0</v>
      </c>
      <c r="N73" s="862">
        <f t="shared" si="4"/>
        <v>0</v>
      </c>
      <c r="O73" s="863"/>
      <c r="P73" s="864"/>
      <c r="Q73" s="864"/>
      <c r="R73" s="865"/>
      <c r="S73" s="866">
        <f t="shared" si="5"/>
        <v>0</v>
      </c>
    </row>
    <row r="74" spans="1:19" ht="39.75" customHeight="1" thickBot="1">
      <c r="A74" s="837" t="s">
        <v>322</v>
      </c>
      <c r="B74" s="838" t="str">
        <f>B73</f>
        <v>2009.</v>
      </c>
      <c r="C74" s="853" t="str">
        <f>C73</f>
        <v>Foglalkoztatási és Szociális Hivatal</v>
      </c>
      <c r="D74" s="854" t="s">
        <v>639</v>
      </c>
      <c r="E74" s="855" t="s">
        <v>637</v>
      </c>
      <c r="F74" s="856">
        <v>493</v>
      </c>
      <c r="G74" s="857"/>
      <c r="H74" s="857"/>
      <c r="I74" s="879">
        <v>493</v>
      </c>
      <c r="J74" s="880">
        <f t="shared" si="6"/>
        <v>493</v>
      </c>
      <c r="K74" s="860" t="s">
        <v>1436</v>
      </c>
      <c r="L74" s="857"/>
      <c r="M74" s="861"/>
      <c r="N74" s="862"/>
      <c r="O74" s="863"/>
      <c r="P74" s="864"/>
      <c r="Q74" s="864"/>
      <c r="R74" s="865"/>
      <c r="S74" s="866"/>
    </row>
    <row r="75" spans="1:19" ht="39.75" customHeight="1" thickBot="1">
      <c r="A75" s="753"/>
      <c r="B75" s="885"/>
      <c r="C75" s="886"/>
      <c r="D75" s="886" t="s">
        <v>1286</v>
      </c>
      <c r="E75" s="886"/>
      <c r="F75" s="887">
        <f>SUM(F9:F74)</f>
        <v>3628191</v>
      </c>
      <c r="G75" s="887">
        <f>SUM(G9:G74)</f>
        <v>0</v>
      </c>
      <c r="H75" s="887">
        <f>SUM(H9:H74)</f>
        <v>15809</v>
      </c>
      <c r="I75" s="887">
        <f>SUM(I9:I74)</f>
        <v>1335730</v>
      </c>
      <c r="J75" s="887">
        <f>SUM(G75:I75)</f>
        <v>1351539</v>
      </c>
      <c r="K75" s="887"/>
      <c r="L75" s="887">
        <f>SUM(L9:L74)</f>
        <v>0</v>
      </c>
      <c r="M75" s="887">
        <f>SUM(M9:M74)</f>
        <v>0</v>
      </c>
      <c r="N75" s="887">
        <f>SUM(L75:M75)</f>
        <v>0</v>
      </c>
      <c r="O75" s="887">
        <f>SUM(O9:O74)</f>
        <v>0</v>
      </c>
      <c r="P75" s="887">
        <f>SUM(P9:P74)</f>
        <v>93674</v>
      </c>
      <c r="Q75" s="887">
        <f>SUM(Q9:Q74)</f>
        <v>54034</v>
      </c>
      <c r="R75" s="887">
        <f>SUM(R9:R74)</f>
        <v>170813</v>
      </c>
      <c r="S75" s="888">
        <f>SUM(O75:R75)</f>
        <v>318521</v>
      </c>
    </row>
    <row r="76" spans="1:19" ht="21" thickTop="1">
      <c r="A76" s="889"/>
      <c r="B76" s="889"/>
      <c r="C76" s="890"/>
      <c r="D76" s="890"/>
      <c r="E76" s="889"/>
      <c r="F76" s="889"/>
      <c r="G76" s="889"/>
      <c r="H76" s="891"/>
      <c r="I76" s="891"/>
      <c r="J76" s="889"/>
      <c r="K76" s="892"/>
      <c r="L76" s="889"/>
      <c r="M76" s="889"/>
      <c r="N76" s="891"/>
      <c r="O76" s="889"/>
      <c r="P76" s="889"/>
      <c r="Q76" s="889"/>
      <c r="R76" s="889"/>
      <c r="S76" s="889"/>
    </row>
    <row r="77" spans="1:13" ht="18.75">
      <c r="A77" s="755"/>
      <c r="B77" s="893"/>
      <c r="C77" s="894"/>
      <c r="D77" s="634"/>
      <c r="E77" s="634"/>
      <c r="F77" s="895"/>
      <c r="H77" s="896"/>
      <c r="I77" s="896"/>
      <c r="J77" s="897"/>
      <c r="K77" s="897"/>
      <c r="L77" s="755"/>
      <c r="M77" s="755"/>
    </row>
    <row r="78" spans="1:13" ht="19.5">
      <c r="A78" s="755"/>
      <c r="B78" s="894"/>
      <c r="C78" s="898"/>
      <c r="D78" s="634"/>
      <c r="E78" s="634"/>
      <c r="F78" s="895"/>
      <c r="H78" s="896"/>
      <c r="I78" s="896"/>
      <c r="J78" s="896"/>
      <c r="K78" s="897"/>
      <c r="L78" s="755"/>
      <c r="M78" s="755"/>
    </row>
    <row r="79" spans="1:19" ht="18.75">
      <c r="A79" s="634"/>
      <c r="B79" s="634"/>
      <c r="F79" s="895"/>
      <c r="J79" s="896"/>
      <c r="K79" s="897"/>
      <c r="L79" s="899"/>
      <c r="M79" s="899"/>
      <c r="N79" s="900"/>
      <c r="O79" s="900"/>
      <c r="P79" s="900"/>
      <c r="Q79" s="900"/>
      <c r="R79" s="900"/>
      <c r="S79" s="900"/>
    </row>
    <row r="80" spans="1:19" ht="15.75" customHeight="1">
      <c r="A80" s="634"/>
      <c r="B80" s="634"/>
      <c r="C80" s="634"/>
      <c r="F80" s="901"/>
      <c r="J80" s="896"/>
      <c r="L80" s="899"/>
      <c r="M80" s="899"/>
      <c r="N80" s="900"/>
      <c r="O80" s="900"/>
      <c r="P80" s="900"/>
      <c r="Q80" s="900"/>
      <c r="R80" s="900"/>
      <c r="S80" s="900"/>
    </row>
    <row r="81" spans="1:19" ht="15.75" customHeight="1">
      <c r="A81" s="634"/>
      <c r="B81" s="634"/>
      <c r="C81" s="902"/>
      <c r="F81" s="903"/>
      <c r="J81" s="896"/>
      <c r="L81" s="894"/>
      <c r="M81" s="894"/>
      <c r="N81" s="894"/>
      <c r="O81" s="894"/>
      <c r="P81" s="894"/>
      <c r="Q81" s="894"/>
      <c r="R81" s="894"/>
      <c r="S81" s="894"/>
    </row>
    <row r="82" spans="1:19" ht="15.75" customHeight="1">
      <c r="A82" s="634"/>
      <c r="B82" s="634"/>
      <c r="C82" s="902"/>
      <c r="F82" s="903"/>
      <c r="J82" s="896"/>
      <c r="L82" s="894"/>
      <c r="M82" s="894"/>
      <c r="N82" s="894"/>
      <c r="O82" s="894"/>
      <c r="P82" s="894"/>
      <c r="Q82" s="894"/>
      <c r="R82" s="894"/>
      <c r="S82" s="894"/>
    </row>
    <row r="83" spans="3:19" ht="18.75">
      <c r="C83" s="634"/>
      <c r="G83" s="896"/>
      <c r="H83" s="896"/>
      <c r="I83" s="896"/>
      <c r="K83" s="897"/>
      <c r="L83" s="894"/>
      <c r="M83" s="894"/>
      <c r="N83" s="894"/>
      <c r="O83" s="894"/>
      <c r="P83" s="894"/>
      <c r="Q83" s="894"/>
      <c r="R83" s="894"/>
      <c r="S83" s="894"/>
    </row>
    <row r="84" spans="7:19" ht="18.75">
      <c r="G84" s="896"/>
      <c r="H84" s="896"/>
      <c r="I84" s="896"/>
      <c r="J84" s="896"/>
      <c r="L84" s="904"/>
      <c r="M84" s="904"/>
      <c r="N84" s="894"/>
      <c r="O84" s="894"/>
      <c r="P84" s="894"/>
      <c r="Q84" s="894"/>
      <c r="R84" s="894"/>
      <c r="S84" s="894"/>
    </row>
    <row r="85" spans="7:19" ht="18.75">
      <c r="G85" s="896"/>
      <c r="H85" s="896"/>
      <c r="I85" s="896"/>
      <c r="J85" s="896"/>
      <c r="K85" s="897"/>
      <c r="L85" s="904"/>
      <c r="M85" s="904"/>
      <c r="N85" s="894"/>
      <c r="O85" s="894"/>
      <c r="P85" s="894"/>
      <c r="Q85" s="894"/>
      <c r="R85" s="894"/>
      <c r="S85" s="894"/>
    </row>
    <row r="86" spans="3:19" ht="18.75">
      <c r="C86" s="634"/>
      <c r="G86" s="896"/>
      <c r="H86" s="896"/>
      <c r="I86" s="896"/>
      <c r="J86" s="896"/>
      <c r="K86" s="897"/>
      <c r="L86" s="904"/>
      <c r="M86" s="904"/>
      <c r="N86" s="894"/>
      <c r="O86" s="894"/>
      <c r="P86" s="894"/>
      <c r="Q86" s="894"/>
      <c r="R86" s="894"/>
      <c r="S86" s="894"/>
    </row>
    <row r="87" spans="3:19" ht="18.75">
      <c r="C87" s="634"/>
      <c r="G87" s="896"/>
      <c r="H87" s="896"/>
      <c r="I87" s="896"/>
      <c r="J87" s="896"/>
      <c r="K87" s="897"/>
      <c r="L87" s="904"/>
      <c r="M87" s="904"/>
      <c r="N87" s="894"/>
      <c r="O87" s="894"/>
      <c r="P87" s="894"/>
      <c r="Q87" s="894"/>
      <c r="R87" s="894"/>
      <c r="S87" s="894"/>
    </row>
    <row r="88" spans="3:19" ht="18.75">
      <c r="C88" s="634"/>
      <c r="G88" s="896"/>
      <c r="H88" s="896"/>
      <c r="I88" s="896"/>
      <c r="J88" s="896"/>
      <c r="K88" s="897"/>
      <c r="L88" s="904"/>
      <c r="M88" s="904"/>
      <c r="N88" s="894"/>
      <c r="O88" s="894"/>
      <c r="P88" s="894"/>
      <c r="Q88" s="894"/>
      <c r="R88" s="894"/>
      <c r="S88" s="894"/>
    </row>
    <row r="89" spans="3:19" ht="18.75">
      <c r="C89" s="634"/>
      <c r="G89" s="896"/>
      <c r="H89" s="896"/>
      <c r="I89" s="896"/>
      <c r="J89" s="896"/>
      <c r="K89" s="897"/>
      <c r="L89" s="904"/>
      <c r="M89" s="904"/>
      <c r="N89" s="894"/>
      <c r="O89" s="894"/>
      <c r="P89" s="894"/>
      <c r="Q89" s="894"/>
      <c r="R89" s="894"/>
      <c r="S89" s="894"/>
    </row>
    <row r="90" spans="3:19" ht="18.75">
      <c r="C90" s="634"/>
      <c r="G90" s="896"/>
      <c r="H90" s="896"/>
      <c r="I90" s="896"/>
      <c r="J90" s="896"/>
      <c r="K90" s="897"/>
      <c r="L90" s="904"/>
      <c r="M90" s="904"/>
      <c r="N90" s="894"/>
      <c r="O90" s="894"/>
      <c r="P90" s="894"/>
      <c r="Q90" s="894"/>
      <c r="R90" s="894"/>
      <c r="S90" s="894"/>
    </row>
    <row r="91" spans="3:19" ht="18.75">
      <c r="C91" s="634"/>
      <c r="G91" s="896"/>
      <c r="H91" s="896"/>
      <c r="I91" s="896"/>
      <c r="J91" s="896"/>
      <c r="K91" s="897"/>
      <c r="L91" s="904"/>
      <c r="M91" s="904"/>
      <c r="N91" s="894"/>
      <c r="O91" s="894"/>
      <c r="P91" s="894"/>
      <c r="Q91" s="894"/>
      <c r="R91" s="894"/>
      <c r="S91" s="894"/>
    </row>
    <row r="92" spans="7:19" ht="18.75">
      <c r="G92" s="896"/>
      <c r="H92" s="896"/>
      <c r="I92" s="896"/>
      <c r="J92" s="896"/>
      <c r="K92" s="897"/>
      <c r="L92" s="904"/>
      <c r="M92" s="904"/>
      <c r="N92" s="894"/>
      <c r="O92" s="894"/>
      <c r="P92" s="894"/>
      <c r="Q92" s="894"/>
      <c r="R92" s="894"/>
      <c r="S92" s="894"/>
    </row>
    <row r="93" spans="7:11" ht="15.75">
      <c r="G93" s="896"/>
      <c r="H93" s="896"/>
      <c r="I93" s="896"/>
      <c r="J93" s="896"/>
      <c r="K93" s="897"/>
    </row>
    <row r="94" spans="7:11" ht="15.75">
      <c r="G94" s="896"/>
      <c r="H94" s="896"/>
      <c r="I94" s="896"/>
      <c r="J94" s="896"/>
      <c r="K94" s="897"/>
    </row>
    <row r="95" spans="7:11" ht="15.75">
      <c r="G95" s="896"/>
      <c r="H95" s="896"/>
      <c r="I95" s="896"/>
      <c r="J95" s="896"/>
      <c r="K95" s="897"/>
    </row>
    <row r="96" spans="7:11" ht="15.75">
      <c r="G96" s="897"/>
      <c r="H96" s="897"/>
      <c r="I96" s="897"/>
      <c r="J96" s="897"/>
      <c r="K96" s="897"/>
    </row>
    <row r="97" spans="7:11" ht="15.75">
      <c r="G97" s="896"/>
      <c r="H97" s="896"/>
      <c r="I97" s="896"/>
      <c r="J97" s="896"/>
      <c r="K97" s="897"/>
    </row>
    <row r="98" spans="7:9" ht="15.75">
      <c r="G98" s="905"/>
      <c r="H98" s="905"/>
      <c r="I98" s="905"/>
    </row>
  </sheetData>
  <mergeCells count="25">
    <mergeCell ref="E5:E8"/>
    <mergeCell ref="F5:F8"/>
    <mergeCell ref="A5:A8"/>
    <mergeCell ref="B5:B8"/>
    <mergeCell ref="C5:C8"/>
    <mergeCell ref="D5:D8"/>
    <mergeCell ref="P6:P8"/>
    <mergeCell ref="Q6:Q8"/>
    <mergeCell ref="R6:R8"/>
    <mergeCell ref="S6:S8"/>
    <mergeCell ref="N6:N8"/>
    <mergeCell ref="G6:G8"/>
    <mergeCell ref="H6:H8"/>
    <mergeCell ref="I6:I8"/>
    <mergeCell ref="J6:J8"/>
    <mergeCell ref="O6:O8"/>
    <mergeCell ref="A1:S1"/>
    <mergeCell ref="A2:S2"/>
    <mergeCell ref="A3:S3"/>
    <mergeCell ref="G5:J5"/>
    <mergeCell ref="K5:K8"/>
    <mergeCell ref="L5:N5"/>
    <mergeCell ref="O5:S5"/>
    <mergeCell ref="L6:L8"/>
    <mergeCell ref="M6:M8"/>
  </mergeCells>
  <printOptions horizontalCentered="1"/>
  <pageMargins left="0" right="0" top="0.38" bottom="0" header="0" footer="0"/>
  <pageSetup horizontalDpi="600" verticalDpi="600" orientation="landscape" paperSize="9" scale="33" r:id="rId1"/>
  <headerFooter alignWithMargins="0">
    <oddHeader>&amp;L23. sz.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9" sqref="I29"/>
    </sheetView>
  </sheetViews>
  <sheetFormatPr defaultColWidth="9.00390625" defaultRowHeight="12.75"/>
  <cols>
    <col min="1" max="4" width="9.125" style="273" customWidth="1"/>
    <col min="5" max="5" width="9.125" style="432" customWidth="1"/>
    <col min="6" max="16384" width="9.125" style="273" customWidth="1"/>
  </cols>
  <sheetData/>
  <printOptions horizontalCentered="1"/>
  <pageMargins left="0.2362204724409449" right="0.2362204724409449" top="0" bottom="0" header="0.2362204724409449" footer="0.2362204724409449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4">
      <selection activeCell="D10" sqref="D10"/>
    </sheetView>
  </sheetViews>
  <sheetFormatPr defaultColWidth="9.00390625" defaultRowHeight="12.75"/>
  <cols>
    <col min="1" max="1" width="49.625" style="0" customWidth="1"/>
    <col min="2" max="3" width="10.75390625" style="0" customWidth="1"/>
    <col min="4" max="4" width="11.25390625" style="0" customWidth="1"/>
    <col min="5" max="9" width="10.75390625" style="0" customWidth="1"/>
    <col min="10" max="10" width="10.875" style="0" customWidth="1"/>
    <col min="11" max="12" width="10.75390625" style="0" customWidth="1"/>
    <col min="13" max="13" width="10.625" style="0" customWidth="1"/>
  </cols>
  <sheetData>
    <row r="1" spans="1:11" ht="12.75">
      <c r="A1" s="195" t="s">
        <v>971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3" ht="14.25">
      <c r="A2" s="1057" t="s">
        <v>64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66"/>
      <c r="L2" s="1066"/>
      <c r="M2" s="1066"/>
    </row>
    <row r="3" spans="1:11" ht="11.25" customHeight="1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196"/>
    </row>
    <row r="4" spans="1:13" ht="25.5" customHeight="1" thickTop="1">
      <c r="A4" s="197" t="s">
        <v>952</v>
      </c>
      <c r="B4" s="1058" t="s">
        <v>1024</v>
      </c>
      <c r="C4" s="1059"/>
      <c r="D4" s="1060"/>
      <c r="E4" s="1058" t="s">
        <v>1282</v>
      </c>
      <c r="F4" s="1059"/>
      <c r="G4" s="1060"/>
      <c r="H4" s="1058" t="s">
        <v>506</v>
      </c>
      <c r="I4" s="1061"/>
      <c r="J4" s="1062"/>
      <c r="K4" s="1063" t="s">
        <v>1286</v>
      </c>
      <c r="L4" s="1044"/>
      <c r="M4" s="1087"/>
    </row>
    <row r="5" spans="1:13" ht="12.75" customHeight="1">
      <c r="A5" s="198"/>
      <c r="B5" s="199" t="s">
        <v>937</v>
      </c>
      <c r="C5" s="235" t="s">
        <v>903</v>
      </c>
      <c r="D5" s="235" t="s">
        <v>386</v>
      </c>
      <c r="E5" s="199" t="s">
        <v>937</v>
      </c>
      <c r="F5" s="235" t="s">
        <v>903</v>
      </c>
      <c r="G5" s="235" t="s">
        <v>386</v>
      </c>
      <c r="H5" s="199" t="s">
        <v>937</v>
      </c>
      <c r="I5" s="235" t="s">
        <v>903</v>
      </c>
      <c r="J5" s="235" t="s">
        <v>386</v>
      </c>
      <c r="K5" s="199" t="s">
        <v>516</v>
      </c>
      <c r="L5" s="235" t="s">
        <v>903</v>
      </c>
      <c r="M5" s="411" t="s">
        <v>386</v>
      </c>
    </row>
    <row r="6" spans="1:13" ht="12.75">
      <c r="A6" s="200" t="s">
        <v>933</v>
      </c>
      <c r="B6" s="201">
        <v>24847</v>
      </c>
      <c r="C6" s="202">
        <v>56711</v>
      </c>
      <c r="D6" s="202">
        <v>64227</v>
      </c>
      <c r="E6" s="202">
        <v>99250</v>
      </c>
      <c r="F6" s="202">
        <v>106929</v>
      </c>
      <c r="G6" s="202">
        <v>110351</v>
      </c>
      <c r="H6" s="202">
        <v>8391</v>
      </c>
      <c r="I6" s="202">
        <v>8806</v>
      </c>
      <c r="J6" s="202">
        <v>8888</v>
      </c>
      <c r="K6" s="209">
        <f>SUM(B6+E6+H6)</f>
        <v>132488</v>
      </c>
      <c r="L6" s="236">
        <f>SUM(C6+F6+I6)</f>
        <v>172446</v>
      </c>
      <c r="M6" s="248">
        <f>SUM(D6+G6+J6)</f>
        <v>183466</v>
      </c>
    </row>
    <row r="7" spans="1:13" ht="12.75">
      <c r="A7" s="203" t="s">
        <v>941</v>
      </c>
      <c r="B7" s="204">
        <v>123162</v>
      </c>
      <c r="C7" s="205">
        <v>114554</v>
      </c>
      <c r="D7" s="205">
        <v>102111</v>
      </c>
      <c r="E7" s="205">
        <v>18998</v>
      </c>
      <c r="F7" s="205">
        <v>24488</v>
      </c>
      <c r="G7" s="205">
        <v>33238</v>
      </c>
      <c r="H7" s="205">
        <v>480</v>
      </c>
      <c r="I7" s="205">
        <v>238</v>
      </c>
      <c r="J7" s="205">
        <v>238</v>
      </c>
      <c r="K7" s="209">
        <f aca="true" t="shared" si="0" ref="K7:K58">SUM(B7+E7+H7)</f>
        <v>142640</v>
      </c>
      <c r="L7" s="236">
        <f aca="true" t="shared" si="1" ref="L7:L58">SUM(C7+F7+I7)</f>
        <v>139280</v>
      </c>
      <c r="M7" s="248">
        <f aca="true" t="shared" si="2" ref="M7:M58">SUM(D7+G7+J7)</f>
        <v>135587</v>
      </c>
    </row>
    <row r="8" spans="1:13" ht="12.75">
      <c r="A8" s="203" t="s">
        <v>942</v>
      </c>
      <c r="B8" s="204">
        <v>144000</v>
      </c>
      <c r="C8" s="205">
        <v>215351</v>
      </c>
      <c r="D8" s="205">
        <v>237660</v>
      </c>
      <c r="E8" s="205"/>
      <c r="F8" s="205">
        <v>333</v>
      </c>
      <c r="G8" s="205">
        <v>486</v>
      </c>
      <c r="H8" s="205">
        <v>1116</v>
      </c>
      <c r="I8" s="205">
        <v>1925</v>
      </c>
      <c r="J8" s="205">
        <v>1863</v>
      </c>
      <c r="K8" s="209">
        <f t="shared" si="0"/>
        <v>145116</v>
      </c>
      <c r="L8" s="236">
        <f t="shared" si="1"/>
        <v>217609</v>
      </c>
      <c r="M8" s="248">
        <f t="shared" si="2"/>
        <v>240009</v>
      </c>
    </row>
    <row r="9" spans="1:13" ht="12.75">
      <c r="A9" s="203" t="s">
        <v>746</v>
      </c>
      <c r="B9" s="204">
        <v>140000</v>
      </c>
      <c r="C9" s="205">
        <v>200000</v>
      </c>
      <c r="D9" s="205">
        <v>208022</v>
      </c>
      <c r="E9" s="205"/>
      <c r="F9" s="205"/>
      <c r="G9" s="205"/>
      <c r="H9" s="205"/>
      <c r="I9" s="205"/>
      <c r="J9" s="205"/>
      <c r="K9" s="209">
        <f t="shared" si="0"/>
        <v>140000</v>
      </c>
      <c r="L9" s="236">
        <f t="shared" si="1"/>
        <v>200000</v>
      </c>
      <c r="M9" s="248">
        <f t="shared" si="2"/>
        <v>208022</v>
      </c>
    </row>
    <row r="10" spans="1:13" ht="12.75">
      <c r="A10" s="203" t="s">
        <v>931</v>
      </c>
      <c r="B10" s="204"/>
      <c r="C10" s="205">
        <v>1674</v>
      </c>
      <c r="D10" s="205">
        <v>1851</v>
      </c>
      <c r="E10" s="205"/>
      <c r="F10" s="205">
        <v>9691</v>
      </c>
      <c r="G10" s="205">
        <v>9691</v>
      </c>
      <c r="H10" s="205"/>
      <c r="I10" s="205">
        <v>2774</v>
      </c>
      <c r="J10" s="205">
        <v>2774</v>
      </c>
      <c r="K10" s="209">
        <f t="shared" si="0"/>
        <v>0</v>
      </c>
      <c r="L10" s="236">
        <f t="shared" si="1"/>
        <v>14139</v>
      </c>
      <c r="M10" s="248">
        <f t="shared" si="2"/>
        <v>14316</v>
      </c>
    </row>
    <row r="11" spans="1:13" ht="12.75">
      <c r="A11" s="206" t="s">
        <v>943</v>
      </c>
      <c r="B11" s="207">
        <f aca="true" t="shared" si="3" ref="B11:J11">SUM(B6+B7+B8+B10)</f>
        <v>292009</v>
      </c>
      <c r="C11" s="207">
        <f t="shared" si="3"/>
        <v>388290</v>
      </c>
      <c r="D11" s="207">
        <f t="shared" si="3"/>
        <v>405849</v>
      </c>
      <c r="E11" s="207">
        <f t="shared" si="3"/>
        <v>118248</v>
      </c>
      <c r="F11" s="207">
        <f t="shared" si="3"/>
        <v>141441</v>
      </c>
      <c r="G11" s="207">
        <f t="shared" si="3"/>
        <v>153766</v>
      </c>
      <c r="H11" s="207">
        <f t="shared" si="3"/>
        <v>9987</v>
      </c>
      <c r="I11" s="207">
        <f t="shared" si="3"/>
        <v>13743</v>
      </c>
      <c r="J11" s="207">
        <f t="shared" si="3"/>
        <v>13763</v>
      </c>
      <c r="K11" s="209">
        <f t="shared" si="0"/>
        <v>420244</v>
      </c>
      <c r="L11" s="236">
        <f t="shared" si="1"/>
        <v>543474</v>
      </c>
      <c r="M11" s="248">
        <f t="shared" si="2"/>
        <v>573378</v>
      </c>
    </row>
    <row r="12" spans="1:13" ht="12.75">
      <c r="A12" s="203" t="s">
        <v>1420</v>
      </c>
      <c r="B12" s="204">
        <v>1179400</v>
      </c>
      <c r="C12" s="205">
        <v>1192711</v>
      </c>
      <c r="D12" s="205">
        <v>1246572</v>
      </c>
      <c r="E12" s="205"/>
      <c r="F12" s="205"/>
      <c r="G12" s="205"/>
      <c r="H12" s="205"/>
      <c r="I12" s="205"/>
      <c r="J12" s="205"/>
      <c r="K12" s="209">
        <f t="shared" si="0"/>
        <v>1179400</v>
      </c>
      <c r="L12" s="236">
        <f t="shared" si="1"/>
        <v>1192711</v>
      </c>
      <c r="M12" s="248">
        <f t="shared" si="2"/>
        <v>1246572</v>
      </c>
    </row>
    <row r="13" spans="1:13" ht="12.75">
      <c r="A13" s="203" t="s">
        <v>1410</v>
      </c>
      <c r="B13" s="204"/>
      <c r="C13" s="205"/>
      <c r="D13" s="205"/>
      <c r="E13" s="205"/>
      <c r="F13" s="205"/>
      <c r="G13" s="205"/>
      <c r="H13" s="205"/>
      <c r="I13" s="205"/>
      <c r="J13" s="205"/>
      <c r="K13" s="209">
        <f t="shared" si="0"/>
        <v>0</v>
      </c>
      <c r="L13" s="236">
        <f t="shared" si="1"/>
        <v>0</v>
      </c>
      <c r="M13" s="248">
        <f t="shared" si="2"/>
        <v>0</v>
      </c>
    </row>
    <row r="14" spans="1:13" ht="12.75">
      <c r="A14" s="203" t="s">
        <v>1411</v>
      </c>
      <c r="B14" s="204">
        <v>195000</v>
      </c>
      <c r="C14" s="205">
        <v>204401</v>
      </c>
      <c r="D14" s="205">
        <v>189305</v>
      </c>
      <c r="E14" s="205"/>
      <c r="F14" s="205"/>
      <c r="G14" s="205"/>
      <c r="H14" s="205"/>
      <c r="I14" s="205"/>
      <c r="J14" s="205"/>
      <c r="K14" s="209">
        <f t="shared" si="0"/>
        <v>195000</v>
      </c>
      <c r="L14" s="236">
        <f t="shared" si="1"/>
        <v>204401</v>
      </c>
      <c r="M14" s="248">
        <f t="shared" si="2"/>
        <v>189305</v>
      </c>
    </row>
    <row r="15" spans="1:13" ht="12.75">
      <c r="A15" s="203" t="s">
        <v>1412</v>
      </c>
      <c r="B15" s="204">
        <v>70000</v>
      </c>
      <c r="C15" s="205">
        <v>70050</v>
      </c>
      <c r="D15" s="205">
        <v>68275</v>
      </c>
      <c r="E15" s="205"/>
      <c r="F15" s="205"/>
      <c r="G15" s="205"/>
      <c r="H15" s="205"/>
      <c r="I15" s="205"/>
      <c r="J15" s="205"/>
      <c r="K15" s="209">
        <f t="shared" si="0"/>
        <v>70000</v>
      </c>
      <c r="L15" s="236">
        <f t="shared" si="1"/>
        <v>70050</v>
      </c>
      <c r="M15" s="248">
        <f t="shared" si="2"/>
        <v>68275</v>
      </c>
    </row>
    <row r="16" spans="1:13" ht="12.75">
      <c r="A16" s="203" t="s">
        <v>1413</v>
      </c>
      <c r="B16" s="204">
        <v>15000</v>
      </c>
      <c r="C16" s="205">
        <v>15000</v>
      </c>
      <c r="D16" s="205">
        <v>15522</v>
      </c>
      <c r="E16" s="205"/>
      <c r="F16" s="205"/>
      <c r="G16" s="205"/>
      <c r="H16" s="205"/>
      <c r="I16" s="205"/>
      <c r="J16" s="205"/>
      <c r="K16" s="209">
        <f t="shared" si="0"/>
        <v>15000</v>
      </c>
      <c r="L16" s="236">
        <f t="shared" si="1"/>
        <v>15000</v>
      </c>
      <c r="M16" s="248">
        <f t="shared" si="2"/>
        <v>15522</v>
      </c>
    </row>
    <row r="17" spans="1:13" ht="12.75">
      <c r="A17" s="203" t="s">
        <v>1414</v>
      </c>
      <c r="B17" s="204">
        <v>880000</v>
      </c>
      <c r="C17" s="205">
        <v>880000</v>
      </c>
      <c r="D17" s="205">
        <v>953304</v>
      </c>
      <c r="E17" s="205"/>
      <c r="F17" s="205"/>
      <c r="G17" s="205"/>
      <c r="H17" s="205"/>
      <c r="I17" s="205"/>
      <c r="J17" s="205"/>
      <c r="K17" s="209">
        <f t="shared" si="0"/>
        <v>880000</v>
      </c>
      <c r="L17" s="236">
        <f t="shared" si="1"/>
        <v>880000</v>
      </c>
      <c r="M17" s="248">
        <f t="shared" si="2"/>
        <v>953304</v>
      </c>
    </row>
    <row r="18" spans="1:13" ht="12.75">
      <c r="A18" s="203" t="s">
        <v>932</v>
      </c>
      <c r="B18" s="204">
        <v>15000</v>
      </c>
      <c r="C18" s="205">
        <v>16834</v>
      </c>
      <c r="D18" s="205">
        <v>13721</v>
      </c>
      <c r="E18" s="205"/>
      <c r="F18" s="205"/>
      <c r="G18" s="205"/>
      <c r="H18" s="205"/>
      <c r="I18" s="205"/>
      <c r="J18" s="205"/>
      <c r="K18" s="209">
        <f t="shared" si="0"/>
        <v>15000</v>
      </c>
      <c r="L18" s="236">
        <f t="shared" si="1"/>
        <v>16834</v>
      </c>
      <c r="M18" s="248">
        <f t="shared" si="2"/>
        <v>13721</v>
      </c>
    </row>
    <row r="19" spans="1:13" ht="12.75">
      <c r="A19" s="203" t="s">
        <v>1415</v>
      </c>
      <c r="B19" s="204">
        <v>4400</v>
      </c>
      <c r="C19" s="205">
        <v>6426</v>
      </c>
      <c r="D19" s="205">
        <v>6445</v>
      </c>
      <c r="E19" s="205"/>
      <c r="F19" s="205"/>
      <c r="G19" s="205"/>
      <c r="H19" s="205"/>
      <c r="I19" s="205"/>
      <c r="J19" s="205"/>
      <c r="K19" s="209">
        <f t="shared" si="0"/>
        <v>4400</v>
      </c>
      <c r="L19" s="236">
        <f t="shared" si="1"/>
        <v>6426</v>
      </c>
      <c r="M19" s="248">
        <f t="shared" si="2"/>
        <v>6445</v>
      </c>
    </row>
    <row r="20" spans="1:13" ht="12.75">
      <c r="A20" s="203" t="s">
        <v>944</v>
      </c>
      <c r="B20" s="204">
        <v>426533</v>
      </c>
      <c r="C20" s="205">
        <v>426553</v>
      </c>
      <c r="D20" s="205">
        <v>426553</v>
      </c>
      <c r="E20" s="205"/>
      <c r="F20" s="205"/>
      <c r="G20" s="205"/>
      <c r="H20" s="205"/>
      <c r="I20" s="205"/>
      <c r="J20" s="205"/>
      <c r="K20" s="209">
        <f t="shared" si="0"/>
        <v>426533</v>
      </c>
      <c r="L20" s="236">
        <f t="shared" si="1"/>
        <v>426553</v>
      </c>
      <c r="M20" s="248">
        <f t="shared" si="2"/>
        <v>426553</v>
      </c>
    </row>
    <row r="21" spans="1:13" ht="12.75">
      <c r="A21" s="203" t="s">
        <v>945</v>
      </c>
      <c r="B21" s="204">
        <v>275000</v>
      </c>
      <c r="C21" s="205">
        <v>275390</v>
      </c>
      <c r="D21" s="205">
        <v>241713</v>
      </c>
      <c r="E21" s="205"/>
      <c r="F21" s="205"/>
      <c r="G21" s="205"/>
      <c r="H21" s="205"/>
      <c r="I21" s="205"/>
      <c r="J21" s="205"/>
      <c r="K21" s="209">
        <f t="shared" si="0"/>
        <v>275000</v>
      </c>
      <c r="L21" s="236">
        <f t="shared" si="1"/>
        <v>275390</v>
      </c>
      <c r="M21" s="248">
        <f t="shared" si="2"/>
        <v>241713</v>
      </c>
    </row>
    <row r="22" spans="1:13" ht="12.75">
      <c r="A22" s="203" t="s">
        <v>946</v>
      </c>
      <c r="B22" s="204">
        <v>400</v>
      </c>
      <c r="C22" s="205">
        <v>400</v>
      </c>
      <c r="D22" s="205">
        <v>88</v>
      </c>
      <c r="E22" s="205"/>
      <c r="F22" s="205"/>
      <c r="G22" s="205"/>
      <c r="H22" s="205"/>
      <c r="I22" s="205"/>
      <c r="J22" s="205"/>
      <c r="K22" s="209">
        <f t="shared" si="0"/>
        <v>400</v>
      </c>
      <c r="L22" s="236">
        <f t="shared" si="1"/>
        <v>400</v>
      </c>
      <c r="M22" s="248">
        <f t="shared" si="2"/>
        <v>88</v>
      </c>
    </row>
    <row r="23" spans="1:13" ht="12.75">
      <c r="A23" s="203" t="s">
        <v>968</v>
      </c>
      <c r="B23" s="204">
        <v>3200</v>
      </c>
      <c r="C23" s="205">
        <v>3377</v>
      </c>
      <c r="D23" s="205">
        <v>4150</v>
      </c>
      <c r="E23" s="205"/>
      <c r="F23" s="205"/>
      <c r="G23" s="205"/>
      <c r="H23" s="205"/>
      <c r="I23" s="205"/>
      <c r="J23" s="205"/>
      <c r="K23" s="209">
        <f t="shared" si="0"/>
        <v>3200</v>
      </c>
      <c r="L23" s="236">
        <f t="shared" si="1"/>
        <v>3377</v>
      </c>
      <c r="M23" s="248">
        <f t="shared" si="2"/>
        <v>4150</v>
      </c>
    </row>
    <row r="24" spans="1:13" ht="12.75">
      <c r="A24" s="203" t="s">
        <v>646</v>
      </c>
      <c r="B24" s="204">
        <v>4500</v>
      </c>
      <c r="C24" s="205">
        <v>7042</v>
      </c>
      <c r="D24" s="205">
        <v>8126</v>
      </c>
      <c r="E24" s="205"/>
      <c r="F24" s="205"/>
      <c r="G24" s="205"/>
      <c r="H24" s="205"/>
      <c r="I24" s="205"/>
      <c r="J24" s="205"/>
      <c r="K24" s="209">
        <f t="shared" si="0"/>
        <v>4500</v>
      </c>
      <c r="L24" s="236">
        <f t="shared" si="1"/>
        <v>7042</v>
      </c>
      <c r="M24" s="248">
        <f t="shared" si="2"/>
        <v>8126</v>
      </c>
    </row>
    <row r="25" spans="1:13" ht="12.75">
      <c r="A25" s="203" t="s">
        <v>647</v>
      </c>
      <c r="B25" s="204">
        <v>41914</v>
      </c>
      <c r="C25" s="205">
        <v>33414</v>
      </c>
      <c r="D25" s="205">
        <v>35283</v>
      </c>
      <c r="E25" s="205"/>
      <c r="F25" s="205"/>
      <c r="G25" s="205"/>
      <c r="H25" s="205"/>
      <c r="I25" s="205"/>
      <c r="J25" s="205"/>
      <c r="K25" s="209">
        <f t="shared" si="0"/>
        <v>41914</v>
      </c>
      <c r="L25" s="236">
        <f t="shared" si="1"/>
        <v>33414</v>
      </c>
      <c r="M25" s="248">
        <f t="shared" si="2"/>
        <v>35283</v>
      </c>
    </row>
    <row r="26" spans="1:13" ht="12.75">
      <c r="A26" s="203" t="s">
        <v>913</v>
      </c>
      <c r="B26" s="204">
        <v>51975</v>
      </c>
      <c r="C26" s="205">
        <v>51975</v>
      </c>
      <c r="D26" s="205">
        <v>48772</v>
      </c>
      <c r="E26" s="205"/>
      <c r="F26" s="205"/>
      <c r="G26" s="205"/>
      <c r="H26" s="205"/>
      <c r="I26" s="205"/>
      <c r="J26" s="205"/>
      <c r="K26" s="209">
        <f t="shared" si="0"/>
        <v>51975</v>
      </c>
      <c r="L26" s="236">
        <f t="shared" si="1"/>
        <v>51975</v>
      </c>
      <c r="M26" s="248">
        <f t="shared" si="2"/>
        <v>48772</v>
      </c>
    </row>
    <row r="27" spans="1:13" ht="12.75">
      <c r="A27" s="206" t="s">
        <v>969</v>
      </c>
      <c r="B27" s="207">
        <f aca="true" t="shared" si="4" ref="B27:J27">SUM(B12+B20+B21+B22+B23+B24+B25+B26)</f>
        <v>1982922</v>
      </c>
      <c r="C27" s="207">
        <f t="shared" si="4"/>
        <v>1990862</v>
      </c>
      <c r="D27" s="207">
        <f t="shared" si="4"/>
        <v>2011257</v>
      </c>
      <c r="E27" s="207">
        <f t="shared" si="4"/>
        <v>0</v>
      </c>
      <c r="F27" s="207">
        <f t="shared" si="4"/>
        <v>0</v>
      </c>
      <c r="G27" s="207">
        <f t="shared" si="4"/>
        <v>0</v>
      </c>
      <c r="H27" s="207">
        <f t="shared" si="4"/>
        <v>0</v>
      </c>
      <c r="I27" s="207">
        <f t="shared" si="4"/>
        <v>0</v>
      </c>
      <c r="J27" s="207">
        <f t="shared" si="4"/>
        <v>0</v>
      </c>
      <c r="K27" s="209">
        <f t="shared" si="0"/>
        <v>1982922</v>
      </c>
      <c r="L27" s="236">
        <f t="shared" si="1"/>
        <v>1990862</v>
      </c>
      <c r="M27" s="248">
        <f t="shared" si="2"/>
        <v>2011257</v>
      </c>
    </row>
    <row r="28" spans="1:13" ht="12.75">
      <c r="A28" s="208" t="s">
        <v>947</v>
      </c>
      <c r="B28" s="209">
        <f aca="true" t="shared" si="5" ref="B28:J28">SUM(B11+B27)</f>
        <v>2274931</v>
      </c>
      <c r="C28" s="209">
        <f t="shared" si="5"/>
        <v>2379152</v>
      </c>
      <c r="D28" s="209">
        <f t="shared" si="5"/>
        <v>2417106</v>
      </c>
      <c r="E28" s="209">
        <f t="shared" si="5"/>
        <v>118248</v>
      </c>
      <c r="F28" s="209">
        <f t="shared" si="5"/>
        <v>141441</v>
      </c>
      <c r="G28" s="209">
        <f t="shared" si="5"/>
        <v>153766</v>
      </c>
      <c r="H28" s="209">
        <f t="shared" si="5"/>
        <v>9987</v>
      </c>
      <c r="I28" s="209">
        <f t="shared" si="5"/>
        <v>13743</v>
      </c>
      <c r="J28" s="209">
        <f t="shared" si="5"/>
        <v>13763</v>
      </c>
      <c r="K28" s="209">
        <f t="shared" si="0"/>
        <v>2403166</v>
      </c>
      <c r="L28" s="236">
        <f t="shared" si="1"/>
        <v>2534336</v>
      </c>
      <c r="M28" s="248">
        <f t="shared" si="2"/>
        <v>2584635</v>
      </c>
    </row>
    <row r="29" spans="1:13" ht="12.75">
      <c r="A29" s="203" t="s">
        <v>948</v>
      </c>
      <c r="B29" s="204">
        <v>286000</v>
      </c>
      <c r="C29" s="205">
        <v>286000</v>
      </c>
      <c r="D29" s="205">
        <v>184895</v>
      </c>
      <c r="E29" s="205"/>
      <c r="F29" s="205"/>
      <c r="G29" s="205"/>
      <c r="H29" s="205"/>
      <c r="I29" s="205"/>
      <c r="J29" s="205"/>
      <c r="K29" s="209">
        <f t="shared" si="0"/>
        <v>286000</v>
      </c>
      <c r="L29" s="236">
        <f t="shared" si="1"/>
        <v>286000</v>
      </c>
      <c r="M29" s="248">
        <f t="shared" si="2"/>
        <v>184895</v>
      </c>
    </row>
    <row r="30" spans="1:13" ht="12.75">
      <c r="A30" s="203" t="s">
        <v>767</v>
      </c>
      <c r="B30" s="204">
        <v>6000</v>
      </c>
      <c r="C30" s="205">
        <v>6000</v>
      </c>
      <c r="D30" s="205">
        <v>3777</v>
      </c>
      <c r="E30" s="205"/>
      <c r="F30" s="205"/>
      <c r="G30" s="205"/>
      <c r="H30" s="205"/>
      <c r="I30" s="205"/>
      <c r="J30" s="205"/>
      <c r="K30" s="209">
        <f t="shared" si="0"/>
        <v>6000</v>
      </c>
      <c r="L30" s="236">
        <f t="shared" si="1"/>
        <v>6000</v>
      </c>
      <c r="M30" s="248">
        <f t="shared" si="2"/>
        <v>3777</v>
      </c>
    </row>
    <row r="31" spans="1:13" ht="12.75">
      <c r="A31" s="203" t="s">
        <v>959</v>
      </c>
      <c r="B31" s="204">
        <v>8000</v>
      </c>
      <c r="C31" s="205"/>
      <c r="D31" s="205"/>
      <c r="E31" s="205"/>
      <c r="F31" s="205"/>
      <c r="G31" s="205"/>
      <c r="H31" s="205"/>
      <c r="I31" s="205"/>
      <c r="J31" s="205"/>
      <c r="K31" s="209">
        <f t="shared" si="0"/>
        <v>8000</v>
      </c>
      <c r="L31" s="236">
        <f t="shared" si="1"/>
        <v>0</v>
      </c>
      <c r="M31" s="248">
        <f t="shared" si="2"/>
        <v>0</v>
      </c>
    </row>
    <row r="32" spans="1:13" ht="12.75">
      <c r="A32" s="203" t="s">
        <v>37</v>
      </c>
      <c r="B32" s="204"/>
      <c r="C32" s="205"/>
      <c r="D32" s="205"/>
      <c r="E32" s="205"/>
      <c r="F32" s="205">
        <v>1500</v>
      </c>
      <c r="G32" s="205">
        <v>1500</v>
      </c>
      <c r="H32" s="205"/>
      <c r="I32" s="205">
        <v>114</v>
      </c>
      <c r="J32" s="205">
        <v>114</v>
      </c>
      <c r="K32" s="209">
        <f t="shared" si="0"/>
        <v>0</v>
      </c>
      <c r="L32" s="236">
        <f t="shared" si="1"/>
        <v>1614</v>
      </c>
      <c r="M32" s="248">
        <f t="shared" si="2"/>
        <v>1614</v>
      </c>
    </row>
    <row r="33" spans="1:13" ht="12.75">
      <c r="A33" s="203" t="s">
        <v>649</v>
      </c>
      <c r="B33" s="204">
        <v>43631</v>
      </c>
      <c r="C33" s="205">
        <v>5631</v>
      </c>
      <c r="D33" s="205">
        <v>5631</v>
      </c>
      <c r="E33" s="205"/>
      <c r="F33" s="205"/>
      <c r="G33" s="205"/>
      <c r="H33" s="205"/>
      <c r="I33" s="205"/>
      <c r="J33" s="205"/>
      <c r="K33" s="209">
        <f t="shared" si="0"/>
        <v>43631</v>
      </c>
      <c r="L33" s="236">
        <f t="shared" si="1"/>
        <v>5631</v>
      </c>
      <c r="M33" s="248">
        <f t="shared" si="2"/>
        <v>5631</v>
      </c>
    </row>
    <row r="34" spans="1:13" ht="12.75">
      <c r="A34" s="203" t="s">
        <v>768</v>
      </c>
      <c r="B34" s="204">
        <v>11720</v>
      </c>
      <c r="C34" s="205">
        <v>11720</v>
      </c>
      <c r="D34" s="205">
        <v>10234</v>
      </c>
      <c r="E34" s="205"/>
      <c r="F34" s="205">
        <v>9100</v>
      </c>
      <c r="G34" s="205">
        <v>9100</v>
      </c>
      <c r="H34" s="205"/>
      <c r="I34" s="205"/>
      <c r="J34" s="205"/>
      <c r="K34" s="209">
        <f t="shared" si="0"/>
        <v>11720</v>
      </c>
      <c r="L34" s="236">
        <f t="shared" si="1"/>
        <v>20820</v>
      </c>
      <c r="M34" s="248">
        <f t="shared" si="2"/>
        <v>19334</v>
      </c>
    </row>
    <row r="35" spans="1:13" ht="12.75">
      <c r="A35" s="203" t="s">
        <v>648</v>
      </c>
      <c r="B35" s="204">
        <v>2200000</v>
      </c>
      <c r="C35" s="205"/>
      <c r="D35" s="205"/>
      <c r="E35" s="205"/>
      <c r="F35" s="205"/>
      <c r="G35" s="205"/>
      <c r="H35" s="205"/>
      <c r="I35" s="205"/>
      <c r="J35" s="205"/>
      <c r="K35" s="209">
        <f t="shared" si="0"/>
        <v>2200000</v>
      </c>
      <c r="L35" s="236">
        <f t="shared" si="1"/>
        <v>0</v>
      </c>
      <c r="M35" s="248">
        <f t="shared" si="2"/>
        <v>0</v>
      </c>
    </row>
    <row r="36" spans="1:13" ht="12.75">
      <c r="A36" s="210" t="s">
        <v>951</v>
      </c>
      <c r="B36" s="209">
        <f aca="true" t="shared" si="6" ref="B36:J36">SUM(B29:B35)</f>
        <v>2555351</v>
      </c>
      <c r="C36" s="209">
        <f t="shared" si="6"/>
        <v>309351</v>
      </c>
      <c r="D36" s="209">
        <f t="shared" si="6"/>
        <v>204537</v>
      </c>
      <c r="E36" s="209">
        <f t="shared" si="6"/>
        <v>0</v>
      </c>
      <c r="F36" s="209">
        <f t="shared" si="6"/>
        <v>10600</v>
      </c>
      <c r="G36" s="209">
        <f t="shared" si="6"/>
        <v>10600</v>
      </c>
      <c r="H36" s="209">
        <f t="shared" si="6"/>
        <v>0</v>
      </c>
      <c r="I36" s="209">
        <f t="shared" si="6"/>
        <v>114</v>
      </c>
      <c r="J36" s="209">
        <f t="shared" si="6"/>
        <v>114</v>
      </c>
      <c r="K36" s="209">
        <f t="shared" si="0"/>
        <v>2555351</v>
      </c>
      <c r="L36" s="236">
        <f t="shared" si="1"/>
        <v>320065</v>
      </c>
      <c r="M36" s="248">
        <f t="shared" si="2"/>
        <v>215251</v>
      </c>
    </row>
    <row r="37" spans="1:13" ht="12.75">
      <c r="A37" s="203" t="s">
        <v>949</v>
      </c>
      <c r="B37" s="204">
        <v>1009304</v>
      </c>
      <c r="C37" s="205">
        <v>979945</v>
      </c>
      <c r="D37" s="205">
        <v>979945</v>
      </c>
      <c r="E37" s="205"/>
      <c r="F37" s="205"/>
      <c r="G37" s="205"/>
      <c r="H37" s="205"/>
      <c r="I37" s="205"/>
      <c r="J37" s="205"/>
      <c r="K37" s="209">
        <f t="shared" si="0"/>
        <v>1009304</v>
      </c>
      <c r="L37" s="236">
        <f t="shared" si="1"/>
        <v>979945</v>
      </c>
      <c r="M37" s="248">
        <f t="shared" si="2"/>
        <v>979945</v>
      </c>
    </row>
    <row r="38" spans="1:13" ht="12.75">
      <c r="A38" s="203" t="s">
        <v>652</v>
      </c>
      <c r="B38" s="204">
        <v>87870</v>
      </c>
      <c r="C38" s="205">
        <v>111054</v>
      </c>
      <c r="D38" s="205">
        <v>111054</v>
      </c>
      <c r="E38" s="205"/>
      <c r="F38" s="205"/>
      <c r="G38" s="205"/>
      <c r="H38" s="205"/>
      <c r="I38" s="205"/>
      <c r="J38" s="205"/>
      <c r="K38" s="209">
        <f t="shared" si="0"/>
        <v>87870</v>
      </c>
      <c r="L38" s="236">
        <f t="shared" si="1"/>
        <v>111054</v>
      </c>
      <c r="M38" s="248">
        <f t="shared" si="2"/>
        <v>111054</v>
      </c>
    </row>
    <row r="39" spans="1:13" ht="12.75">
      <c r="A39" s="203" t="s">
        <v>938</v>
      </c>
      <c r="B39" s="204">
        <v>1713</v>
      </c>
      <c r="C39" s="205">
        <v>2487</v>
      </c>
      <c r="D39" s="205">
        <v>2487</v>
      </c>
      <c r="E39" s="205"/>
      <c r="F39" s="205"/>
      <c r="G39" s="205"/>
      <c r="H39" s="205"/>
      <c r="I39" s="205"/>
      <c r="J39" s="205"/>
      <c r="K39" s="209">
        <f t="shared" si="0"/>
        <v>1713</v>
      </c>
      <c r="L39" s="236">
        <f t="shared" si="1"/>
        <v>2487</v>
      </c>
      <c r="M39" s="248">
        <f t="shared" si="2"/>
        <v>2487</v>
      </c>
    </row>
    <row r="40" spans="1:13" ht="12.75">
      <c r="A40" s="203" t="s">
        <v>792</v>
      </c>
      <c r="B40" s="204"/>
      <c r="C40" s="205">
        <v>87093</v>
      </c>
      <c r="D40" s="205">
        <v>87093</v>
      </c>
      <c r="E40" s="205"/>
      <c r="F40" s="205"/>
      <c r="G40" s="205"/>
      <c r="H40" s="205"/>
      <c r="I40" s="205"/>
      <c r="J40" s="205"/>
      <c r="K40" s="209">
        <f t="shared" si="0"/>
        <v>0</v>
      </c>
      <c r="L40" s="236">
        <f t="shared" si="1"/>
        <v>87093</v>
      </c>
      <c r="M40" s="248">
        <f t="shared" si="2"/>
        <v>87093</v>
      </c>
    </row>
    <row r="41" spans="1:13" ht="12.75">
      <c r="A41" s="203" t="s">
        <v>650</v>
      </c>
      <c r="B41" s="204">
        <v>17601</v>
      </c>
      <c r="C41" s="205">
        <v>17367</v>
      </c>
      <c r="D41" s="205">
        <v>17367</v>
      </c>
      <c r="E41" s="205"/>
      <c r="F41" s="205"/>
      <c r="G41" s="205"/>
      <c r="H41" s="205"/>
      <c r="I41" s="205"/>
      <c r="J41" s="205"/>
      <c r="K41" s="209">
        <f t="shared" si="0"/>
        <v>17601</v>
      </c>
      <c r="L41" s="236">
        <f t="shared" si="1"/>
        <v>17367</v>
      </c>
      <c r="M41" s="248">
        <f t="shared" si="2"/>
        <v>17367</v>
      </c>
    </row>
    <row r="42" spans="1:13" ht="12.75">
      <c r="A42" s="203" t="s">
        <v>760</v>
      </c>
      <c r="B42" s="204"/>
      <c r="C42" s="205"/>
      <c r="D42" s="205"/>
      <c r="E42" s="205"/>
      <c r="F42" s="205"/>
      <c r="G42" s="205"/>
      <c r="H42" s="205"/>
      <c r="I42" s="205"/>
      <c r="J42" s="205"/>
      <c r="K42" s="209">
        <f t="shared" si="0"/>
        <v>0</v>
      </c>
      <c r="L42" s="236">
        <f t="shared" si="1"/>
        <v>0</v>
      </c>
      <c r="M42" s="248">
        <f t="shared" si="2"/>
        <v>0</v>
      </c>
    </row>
    <row r="43" spans="1:13" ht="12.75">
      <c r="A43" s="203" t="s">
        <v>759</v>
      </c>
      <c r="B43" s="204"/>
      <c r="C43" s="205">
        <v>2087</v>
      </c>
      <c r="D43" s="205">
        <v>2087</v>
      </c>
      <c r="E43" s="205"/>
      <c r="F43" s="205"/>
      <c r="G43" s="205"/>
      <c r="H43" s="205"/>
      <c r="I43" s="205"/>
      <c r="J43" s="205"/>
      <c r="K43" s="209">
        <f t="shared" si="0"/>
        <v>0</v>
      </c>
      <c r="L43" s="236">
        <f t="shared" si="1"/>
        <v>2087</v>
      </c>
      <c r="M43" s="248">
        <f t="shared" si="2"/>
        <v>2087</v>
      </c>
    </row>
    <row r="44" spans="1:13" ht="12.75">
      <c r="A44" s="208" t="s">
        <v>970</v>
      </c>
      <c r="B44" s="209">
        <f>SUM(B37:B41)</f>
        <v>1116488</v>
      </c>
      <c r="C44" s="209">
        <f>SUM(C37:C43)</f>
        <v>1200033</v>
      </c>
      <c r="D44" s="209">
        <f>SUM(D37:D43)</f>
        <v>1200033</v>
      </c>
      <c r="E44" s="209">
        <f aca="true" t="shared" si="7" ref="E44:J44">SUM(E37:E41)</f>
        <v>0</v>
      </c>
      <c r="F44" s="209">
        <f>SUM(F37:F41)</f>
        <v>0</v>
      </c>
      <c r="G44" s="209">
        <f t="shared" si="7"/>
        <v>0</v>
      </c>
      <c r="H44" s="209">
        <f t="shared" si="7"/>
        <v>0</v>
      </c>
      <c r="I44" s="209">
        <f>SUM(I37:I41)</f>
        <v>0</v>
      </c>
      <c r="J44" s="209">
        <f t="shared" si="7"/>
        <v>0</v>
      </c>
      <c r="K44" s="209">
        <f t="shared" si="0"/>
        <v>1116488</v>
      </c>
      <c r="L44" s="236">
        <f t="shared" si="1"/>
        <v>1200033</v>
      </c>
      <c r="M44" s="248">
        <f t="shared" si="2"/>
        <v>1200033</v>
      </c>
    </row>
    <row r="45" spans="1:13" ht="12.75">
      <c r="A45" s="203" t="s">
        <v>914</v>
      </c>
      <c r="B45" s="204">
        <v>102700</v>
      </c>
      <c r="C45" s="205">
        <v>139135</v>
      </c>
      <c r="D45" s="205">
        <v>125683</v>
      </c>
      <c r="E45" s="205"/>
      <c r="F45" s="205">
        <v>13031</v>
      </c>
      <c r="G45" s="205">
        <v>13031</v>
      </c>
      <c r="H45" s="205">
        <v>4200</v>
      </c>
      <c r="I45" s="205">
        <v>4800</v>
      </c>
      <c r="J45" s="205">
        <v>4800</v>
      </c>
      <c r="K45" s="209">
        <f t="shared" si="0"/>
        <v>106900</v>
      </c>
      <c r="L45" s="236">
        <f t="shared" si="1"/>
        <v>156966</v>
      </c>
      <c r="M45" s="248">
        <f t="shared" si="2"/>
        <v>143514</v>
      </c>
    </row>
    <row r="46" spans="1:13" ht="12.75">
      <c r="A46" s="203" t="s">
        <v>769</v>
      </c>
      <c r="B46" s="204"/>
      <c r="C46" s="205"/>
      <c r="D46" s="205"/>
      <c r="E46" s="205"/>
      <c r="F46" s="205"/>
      <c r="G46" s="205"/>
      <c r="H46" s="205">
        <v>796639</v>
      </c>
      <c r="I46" s="205">
        <v>750982</v>
      </c>
      <c r="J46" s="205">
        <v>750982</v>
      </c>
      <c r="K46" s="209">
        <f t="shared" si="0"/>
        <v>796639</v>
      </c>
      <c r="L46" s="236">
        <f t="shared" si="1"/>
        <v>750982</v>
      </c>
      <c r="M46" s="248">
        <f t="shared" si="2"/>
        <v>750982</v>
      </c>
    </row>
    <row r="47" spans="1:13" ht="12.75">
      <c r="A47" s="203" t="s">
        <v>915</v>
      </c>
      <c r="B47" s="204">
        <v>20000</v>
      </c>
      <c r="C47" s="205">
        <v>320593</v>
      </c>
      <c r="D47" s="205">
        <v>301344</v>
      </c>
      <c r="E47" s="205"/>
      <c r="F47" s="205"/>
      <c r="G47" s="205"/>
      <c r="H47" s="205"/>
      <c r="I47" s="205"/>
      <c r="J47" s="205"/>
      <c r="K47" s="209">
        <f t="shared" si="0"/>
        <v>20000</v>
      </c>
      <c r="L47" s="236">
        <f t="shared" si="1"/>
        <v>320593</v>
      </c>
      <c r="M47" s="248">
        <f t="shared" si="2"/>
        <v>301344</v>
      </c>
    </row>
    <row r="48" spans="1:13" ht="12.75">
      <c r="A48" s="210" t="s">
        <v>770</v>
      </c>
      <c r="B48" s="209">
        <f>SUM(B45:B47)</f>
        <v>122700</v>
      </c>
      <c r="C48" s="209">
        <f aca="true" t="shared" si="8" ref="C48:J48">SUM(C45:C47)</f>
        <v>459728</v>
      </c>
      <c r="D48" s="209">
        <f t="shared" si="8"/>
        <v>427027</v>
      </c>
      <c r="E48" s="209">
        <f t="shared" si="8"/>
        <v>0</v>
      </c>
      <c r="F48" s="209">
        <f t="shared" si="8"/>
        <v>13031</v>
      </c>
      <c r="G48" s="209">
        <f t="shared" si="8"/>
        <v>13031</v>
      </c>
      <c r="H48" s="209">
        <f t="shared" si="8"/>
        <v>800839</v>
      </c>
      <c r="I48" s="209">
        <f t="shared" si="8"/>
        <v>755782</v>
      </c>
      <c r="J48" s="209">
        <f t="shared" si="8"/>
        <v>755782</v>
      </c>
      <c r="K48" s="209">
        <f t="shared" si="0"/>
        <v>923539</v>
      </c>
      <c r="L48" s="236">
        <f t="shared" si="1"/>
        <v>1228541</v>
      </c>
      <c r="M48" s="248">
        <f t="shared" si="2"/>
        <v>1195840</v>
      </c>
    </row>
    <row r="49" spans="1:13" ht="12.75">
      <c r="A49" s="210" t="s">
        <v>551</v>
      </c>
      <c r="B49" s="209"/>
      <c r="C49" s="45"/>
      <c r="D49" s="45">
        <v>3659</v>
      </c>
      <c r="E49" s="45"/>
      <c r="F49" s="45"/>
      <c r="G49" s="45"/>
      <c r="H49" s="45"/>
      <c r="I49" s="45"/>
      <c r="J49" s="45"/>
      <c r="K49" s="209">
        <f t="shared" si="0"/>
        <v>0</v>
      </c>
      <c r="L49" s="236">
        <f t="shared" si="1"/>
        <v>0</v>
      </c>
      <c r="M49" s="248">
        <f t="shared" si="2"/>
        <v>3659</v>
      </c>
    </row>
    <row r="50" spans="1:13" ht="12.75">
      <c r="A50" s="210" t="s">
        <v>923</v>
      </c>
      <c r="B50" s="209">
        <v>52000</v>
      </c>
      <c r="C50" s="45">
        <v>54000</v>
      </c>
      <c r="D50" s="45">
        <v>52034</v>
      </c>
      <c r="E50" s="45"/>
      <c r="F50" s="45"/>
      <c r="G50" s="45"/>
      <c r="H50" s="45"/>
      <c r="I50" s="45"/>
      <c r="J50" s="45"/>
      <c r="K50" s="209">
        <f t="shared" si="0"/>
        <v>52000</v>
      </c>
      <c r="L50" s="236">
        <f t="shared" si="1"/>
        <v>54000</v>
      </c>
      <c r="M50" s="248">
        <f t="shared" si="2"/>
        <v>52034</v>
      </c>
    </row>
    <row r="51" spans="1:13" ht="12.75">
      <c r="A51" s="210" t="s">
        <v>1089</v>
      </c>
      <c r="B51" s="209"/>
      <c r="C51" s="45">
        <v>473374</v>
      </c>
      <c r="D51" s="45">
        <v>473374</v>
      </c>
      <c r="E51" s="45"/>
      <c r="F51" s="45"/>
      <c r="G51" s="45"/>
      <c r="H51" s="45"/>
      <c r="I51" s="45"/>
      <c r="J51" s="45"/>
      <c r="K51" s="209">
        <f t="shared" si="0"/>
        <v>0</v>
      </c>
      <c r="L51" s="236">
        <f t="shared" si="1"/>
        <v>473374</v>
      </c>
      <c r="M51" s="248">
        <f t="shared" si="2"/>
        <v>473374</v>
      </c>
    </row>
    <row r="52" spans="1:13" ht="12.75">
      <c r="A52" s="210" t="s">
        <v>651</v>
      </c>
      <c r="B52" s="209"/>
      <c r="C52" s="45"/>
      <c r="D52" s="45"/>
      <c r="E52" s="45"/>
      <c r="F52" s="45"/>
      <c r="G52" s="45"/>
      <c r="H52" s="45"/>
      <c r="I52" s="45"/>
      <c r="J52" s="45"/>
      <c r="K52" s="209">
        <f t="shared" si="0"/>
        <v>0</v>
      </c>
      <c r="L52" s="236">
        <f t="shared" si="1"/>
        <v>0</v>
      </c>
      <c r="M52" s="248">
        <f t="shared" si="2"/>
        <v>0</v>
      </c>
    </row>
    <row r="53" spans="1:13" ht="12.75">
      <c r="A53" s="210" t="s">
        <v>1319</v>
      </c>
      <c r="B53" s="209">
        <v>100000</v>
      </c>
      <c r="C53" s="45">
        <v>113307</v>
      </c>
      <c r="D53" s="45">
        <v>124672</v>
      </c>
      <c r="E53" s="45"/>
      <c r="F53" s="45">
        <v>17607</v>
      </c>
      <c r="G53" s="45">
        <v>17607</v>
      </c>
      <c r="H53" s="45"/>
      <c r="I53" s="45">
        <v>39587</v>
      </c>
      <c r="J53" s="45">
        <v>39587</v>
      </c>
      <c r="K53" s="209">
        <f t="shared" si="0"/>
        <v>100000</v>
      </c>
      <c r="L53" s="236">
        <f t="shared" si="1"/>
        <v>170501</v>
      </c>
      <c r="M53" s="248">
        <f t="shared" si="2"/>
        <v>181866</v>
      </c>
    </row>
    <row r="54" spans="1:13" ht="12.75">
      <c r="A54" s="211" t="s">
        <v>1071</v>
      </c>
      <c r="B54" s="212"/>
      <c r="C54" s="213"/>
      <c r="D54" s="213">
        <v>-90760</v>
      </c>
      <c r="E54" s="213"/>
      <c r="F54" s="213"/>
      <c r="G54" s="213">
        <v>-398</v>
      </c>
      <c r="H54" s="213"/>
      <c r="I54" s="213"/>
      <c r="J54" s="213">
        <v>-1637</v>
      </c>
      <c r="K54" s="209">
        <f t="shared" si="0"/>
        <v>0</v>
      </c>
      <c r="L54" s="236">
        <f t="shared" si="1"/>
        <v>0</v>
      </c>
      <c r="M54" s="248">
        <f t="shared" si="2"/>
        <v>-92795</v>
      </c>
    </row>
    <row r="55" spans="1:13" ht="12.75">
      <c r="A55" s="211" t="s">
        <v>59</v>
      </c>
      <c r="B55" s="212"/>
      <c r="C55" s="213"/>
      <c r="D55" s="213"/>
      <c r="E55" s="213"/>
      <c r="F55" s="213"/>
      <c r="G55" s="213">
        <v>10449</v>
      </c>
      <c r="H55" s="213"/>
      <c r="I55" s="213"/>
      <c r="J55" s="213"/>
      <c r="K55" s="209">
        <f t="shared" si="0"/>
        <v>0</v>
      </c>
      <c r="L55" s="236">
        <f t="shared" si="1"/>
        <v>0</v>
      </c>
      <c r="M55" s="248">
        <f t="shared" si="2"/>
        <v>10449</v>
      </c>
    </row>
    <row r="56" spans="1:13" ht="12.75">
      <c r="A56" s="211" t="s">
        <v>46</v>
      </c>
      <c r="B56" s="212"/>
      <c r="C56" s="213"/>
      <c r="D56" s="213">
        <v>729569</v>
      </c>
      <c r="E56" s="213"/>
      <c r="F56" s="213"/>
      <c r="G56" s="213"/>
      <c r="H56" s="213"/>
      <c r="I56" s="213"/>
      <c r="J56" s="213"/>
      <c r="K56" s="209">
        <f t="shared" si="0"/>
        <v>0</v>
      </c>
      <c r="L56" s="236">
        <f t="shared" si="1"/>
        <v>0</v>
      </c>
      <c r="M56" s="248">
        <f t="shared" si="2"/>
        <v>729569</v>
      </c>
    </row>
    <row r="57" spans="1:13" ht="12.75">
      <c r="A57" s="211" t="s">
        <v>44</v>
      </c>
      <c r="B57" s="212"/>
      <c r="C57" s="213">
        <v>2300000</v>
      </c>
      <c r="D57" s="213">
        <v>1578150</v>
      </c>
      <c r="E57" s="213"/>
      <c r="F57" s="213"/>
      <c r="G57" s="213"/>
      <c r="H57" s="213"/>
      <c r="I57" s="213"/>
      <c r="J57" s="213"/>
      <c r="K57" s="209">
        <f t="shared" si="0"/>
        <v>0</v>
      </c>
      <c r="L57" s="236">
        <f t="shared" si="1"/>
        <v>2300000</v>
      </c>
      <c r="M57" s="248">
        <f t="shared" si="2"/>
        <v>1578150</v>
      </c>
    </row>
    <row r="58" spans="1:13" ht="13.5" thickBot="1">
      <c r="A58" s="214" t="s">
        <v>950</v>
      </c>
      <c r="B58" s="215">
        <f>SUM(B28+B36+B44+B48+B49+B50+B51+B52+B53+B54+B55+B56+B57)</f>
        <v>6221470</v>
      </c>
      <c r="C58" s="215">
        <f>SUM(C28+C36+C44+C48+C49+C50+C51+C52+C53+C54+C55+C56+C57)</f>
        <v>7288945</v>
      </c>
      <c r="D58" s="215">
        <f>SUM(D28+D36+D44+D48+D49+D50+D51+D52+D53+D54+D55+D56+D57)</f>
        <v>7119401</v>
      </c>
      <c r="E58" s="215">
        <f>SUM(E28+E36+E44+E48+E50+E51+E52+E53+E54+E55+E56+E57)</f>
        <v>118248</v>
      </c>
      <c r="F58" s="215">
        <f>SUM(F28+F36+F44+F48+F50+F51+F52+F53+F54+F55+F56+F57)</f>
        <v>182679</v>
      </c>
      <c r="G58" s="215">
        <f>SUM(G28+G36+G44+G48+G50+G51+G52+G53+G54+G55+G56+G57)</f>
        <v>205055</v>
      </c>
      <c r="H58" s="215">
        <f>SUM(H28+H36+H44+H48+H50+H51+H52+H53+H54+H55+H56+H57)</f>
        <v>810826</v>
      </c>
      <c r="I58" s="215">
        <f>SUM(I28+I36+I48+I50+I51+I52+I53+I54+I55+I56+I57)</f>
        <v>809226</v>
      </c>
      <c r="J58" s="215">
        <f>SUM(J28+J36+J48+J50+J51+J52+J53+J54+J55+J56+J57)</f>
        <v>807609</v>
      </c>
      <c r="K58" s="215">
        <f t="shared" si="0"/>
        <v>7150544</v>
      </c>
      <c r="L58" s="237">
        <f t="shared" si="1"/>
        <v>8280850</v>
      </c>
      <c r="M58" s="249">
        <f t="shared" si="2"/>
        <v>8132065</v>
      </c>
    </row>
    <row r="59" spans="1:11" ht="13.5" thickTop="1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196"/>
    </row>
  </sheetData>
  <mergeCells count="5">
    <mergeCell ref="A2:M2"/>
    <mergeCell ref="B4:D4"/>
    <mergeCell ref="E4:G4"/>
    <mergeCell ref="H4:J4"/>
    <mergeCell ref="K4:M4"/>
  </mergeCells>
  <printOptions/>
  <pageMargins left="0.24" right="0.25" top="0.17" bottom="0.17" header="0.17" footer="0.17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73"/>
  <sheetViews>
    <sheetView workbookViewId="0" topLeftCell="C1">
      <selection activeCell="I39" sqref="I39"/>
    </sheetView>
  </sheetViews>
  <sheetFormatPr defaultColWidth="9.00390625" defaultRowHeight="25.5" customHeight="1"/>
  <cols>
    <col min="1" max="1" width="0.12890625" style="4" hidden="1" customWidth="1"/>
    <col min="2" max="2" width="0" style="4" hidden="1" customWidth="1"/>
    <col min="3" max="3" width="46.625" style="4" customWidth="1"/>
    <col min="4" max="4" width="11.00390625" style="4" customWidth="1"/>
    <col min="5" max="6" width="11.25390625" style="4" customWidth="1"/>
    <col min="7" max="7" width="11.00390625" style="4" customWidth="1"/>
    <col min="8" max="8" width="11.25390625" style="4" customWidth="1"/>
    <col min="9" max="9" width="11.375" style="4" customWidth="1"/>
    <col min="10" max="10" width="11.00390625" style="4" customWidth="1"/>
    <col min="11" max="11" width="11.75390625" style="4" customWidth="1"/>
    <col min="12" max="12" width="11.375" style="4" customWidth="1"/>
    <col min="13" max="13" width="11.00390625" style="4" customWidth="1"/>
    <col min="14" max="14" width="11.375" style="4" customWidth="1"/>
    <col min="15" max="15" width="11.625" style="4" customWidth="1"/>
    <col min="16" max="16384" width="9.125" style="4" customWidth="1"/>
  </cols>
  <sheetData>
    <row r="1" spans="3:6" s="1" customFormat="1" ht="13.5" customHeight="1">
      <c r="C1" s="2" t="s">
        <v>1284</v>
      </c>
      <c r="D1" s="3"/>
      <c r="E1" s="3"/>
      <c r="F1" s="3"/>
    </row>
    <row r="2" s="1" customFormat="1" ht="12.75"/>
    <row r="3" spans="3:15" s="1" customFormat="1" ht="18" customHeight="1">
      <c r="C3" s="1045" t="s">
        <v>68</v>
      </c>
      <c r="D3" s="1065"/>
      <c r="E3" s="1065"/>
      <c r="F3" s="1065"/>
      <c r="G3" s="1065"/>
      <c r="H3" s="1065"/>
      <c r="I3" s="1065"/>
      <c r="J3" s="1065"/>
      <c r="K3" s="1065"/>
      <c r="L3" s="1065"/>
      <c r="M3" s="1066"/>
      <c r="N3" s="1066"/>
      <c r="O3" s="1066"/>
    </row>
    <row r="4" spans="3:15" s="1" customFormat="1" ht="18" customHeight="1">
      <c r="C4" s="1046" t="s">
        <v>1064</v>
      </c>
      <c r="D4" s="1046"/>
      <c r="E4" s="1046"/>
      <c r="F4" s="1046"/>
      <c r="G4" s="1046"/>
      <c r="H4" s="1046"/>
      <c r="I4" s="1046"/>
      <c r="J4" s="1046"/>
      <c r="K4" s="1046"/>
      <c r="L4" s="1046"/>
      <c r="M4" s="1066"/>
      <c r="N4" s="1066"/>
      <c r="O4" s="1066"/>
    </row>
    <row r="5" spans="3:13" s="1" customFormat="1" ht="18" customHeight="1">
      <c r="C5" s="1047"/>
      <c r="D5" s="1048"/>
      <c r="E5" s="1048"/>
      <c r="F5" s="1048"/>
      <c r="G5" s="1048"/>
      <c r="H5" s="1048"/>
      <c r="I5" s="1048"/>
      <c r="J5" s="1048"/>
      <c r="K5" s="1048"/>
      <c r="L5" s="1048"/>
      <c r="M5" s="1048"/>
    </row>
    <row r="6" spans="3:12" s="1" customFormat="1" ht="18" customHeight="1" thickBot="1"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27" ht="56.25" customHeight="1" thickTop="1">
      <c r="A7" s="18"/>
      <c r="B7" s="17"/>
      <c r="C7" s="43" t="s">
        <v>1285</v>
      </c>
      <c r="D7" s="1058" t="s">
        <v>1024</v>
      </c>
      <c r="E7" s="1059"/>
      <c r="F7" s="1062"/>
      <c r="G7" s="1058" t="s">
        <v>1282</v>
      </c>
      <c r="H7" s="1059"/>
      <c r="I7" s="1062"/>
      <c r="J7" s="1058" t="s">
        <v>506</v>
      </c>
      <c r="K7" s="1061"/>
      <c r="L7" s="1062"/>
      <c r="M7" s="1049" t="s">
        <v>1286</v>
      </c>
      <c r="N7" s="1044"/>
      <c r="O7" s="108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s="6" customFormat="1" ht="15" customHeight="1">
      <c r="A8" s="19"/>
      <c r="B8" s="20"/>
      <c r="C8" s="44"/>
      <c r="D8" s="57" t="s">
        <v>512</v>
      </c>
      <c r="E8" s="57" t="s">
        <v>903</v>
      </c>
      <c r="F8" s="57" t="s">
        <v>386</v>
      </c>
      <c r="G8" s="57" t="s">
        <v>512</v>
      </c>
      <c r="H8" s="57" t="s">
        <v>903</v>
      </c>
      <c r="I8" s="57" t="s">
        <v>386</v>
      </c>
      <c r="J8" s="57" t="s">
        <v>512</v>
      </c>
      <c r="K8" s="57" t="s">
        <v>903</v>
      </c>
      <c r="L8" s="57" t="s">
        <v>386</v>
      </c>
      <c r="M8" s="179" t="s">
        <v>516</v>
      </c>
      <c r="N8" s="57" t="s">
        <v>903</v>
      </c>
      <c r="O8" s="412" t="s">
        <v>386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s="8" customFormat="1" ht="15" customHeight="1">
      <c r="A9" s="21"/>
      <c r="B9" s="22"/>
      <c r="C9" s="49" t="s">
        <v>1287</v>
      </c>
      <c r="D9" s="58">
        <v>458904</v>
      </c>
      <c r="E9" s="59">
        <v>524517</v>
      </c>
      <c r="F9" s="59">
        <v>503220</v>
      </c>
      <c r="G9" s="59">
        <v>875822</v>
      </c>
      <c r="H9" s="59">
        <v>927494</v>
      </c>
      <c r="I9" s="59">
        <v>914076</v>
      </c>
      <c r="J9" s="59">
        <v>392435</v>
      </c>
      <c r="K9" s="59">
        <v>405717</v>
      </c>
      <c r="L9" s="59">
        <v>405405</v>
      </c>
      <c r="M9" s="45">
        <f aca="true" t="shared" si="0" ref="M9:M41">SUM(D9+G9+J9)</f>
        <v>1727161</v>
      </c>
      <c r="N9" s="45">
        <f>SUM(E9+H9+K9)</f>
        <v>1857728</v>
      </c>
      <c r="O9" s="247">
        <f>SUM(F9+I9+L9)</f>
        <v>1822701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8" customFormat="1" ht="15" customHeight="1">
      <c r="A10" s="21"/>
      <c r="B10" s="22"/>
      <c r="C10" s="26" t="s">
        <v>1288</v>
      </c>
      <c r="D10" s="48">
        <v>144793</v>
      </c>
      <c r="E10" s="47">
        <v>157159</v>
      </c>
      <c r="F10" s="47">
        <v>147997</v>
      </c>
      <c r="G10" s="47">
        <v>276044</v>
      </c>
      <c r="H10" s="47">
        <v>282146</v>
      </c>
      <c r="I10" s="47">
        <v>275682</v>
      </c>
      <c r="J10" s="47">
        <v>124700</v>
      </c>
      <c r="K10" s="47">
        <v>118430</v>
      </c>
      <c r="L10" s="47">
        <v>118423</v>
      </c>
      <c r="M10" s="45">
        <f t="shared" si="0"/>
        <v>545537</v>
      </c>
      <c r="N10" s="45">
        <f aca="true" t="shared" si="1" ref="N10:N41">SUM(E10+H10+K10)</f>
        <v>557735</v>
      </c>
      <c r="O10" s="247">
        <f aca="true" t="shared" si="2" ref="O10:O41">SUM(F10+I10+L10)</f>
        <v>542102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5" customHeight="1">
      <c r="A11" s="18"/>
      <c r="B11" s="17"/>
      <c r="C11" s="10" t="s">
        <v>1289</v>
      </c>
      <c r="D11" s="61">
        <v>697056</v>
      </c>
      <c r="E11" s="62">
        <v>848108</v>
      </c>
      <c r="F11" s="62">
        <v>775405</v>
      </c>
      <c r="G11" s="62">
        <v>357163</v>
      </c>
      <c r="H11" s="62">
        <v>424206</v>
      </c>
      <c r="I11" s="62">
        <v>409718</v>
      </c>
      <c r="J11" s="62">
        <v>293691</v>
      </c>
      <c r="K11" s="62">
        <v>292485</v>
      </c>
      <c r="L11" s="62">
        <v>296592</v>
      </c>
      <c r="M11" s="205">
        <f t="shared" si="0"/>
        <v>1347910</v>
      </c>
      <c r="N11" s="205">
        <f t="shared" si="1"/>
        <v>1564799</v>
      </c>
      <c r="O11" s="314">
        <f t="shared" si="2"/>
        <v>1481715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" customHeight="1">
      <c r="A12" s="18"/>
      <c r="B12" s="17"/>
      <c r="C12" s="10" t="s">
        <v>1290</v>
      </c>
      <c r="D12" s="61">
        <v>133031</v>
      </c>
      <c r="E12" s="62">
        <v>87857</v>
      </c>
      <c r="F12" s="62">
        <v>71448</v>
      </c>
      <c r="G12" s="62"/>
      <c r="H12" s="62"/>
      <c r="I12" s="62">
        <v>405</v>
      </c>
      <c r="J12" s="62"/>
      <c r="K12" s="62"/>
      <c r="L12" s="62"/>
      <c r="M12" s="205">
        <f t="shared" si="0"/>
        <v>133031</v>
      </c>
      <c r="N12" s="205">
        <f t="shared" si="1"/>
        <v>87857</v>
      </c>
      <c r="O12" s="314">
        <f t="shared" si="2"/>
        <v>71853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s="8" customFormat="1" ht="15" customHeight="1">
      <c r="A13" s="21"/>
      <c r="B13" s="22"/>
      <c r="C13" s="63" t="s">
        <v>1022</v>
      </c>
      <c r="D13" s="60">
        <f aca="true" t="shared" si="3" ref="D13:L13">SUM(D11+D12)</f>
        <v>830087</v>
      </c>
      <c r="E13" s="60">
        <f>SUM(E11:E12)</f>
        <v>935965</v>
      </c>
      <c r="F13" s="60">
        <f>SUM(F11:F12)</f>
        <v>846853</v>
      </c>
      <c r="G13" s="48">
        <f t="shared" si="3"/>
        <v>357163</v>
      </c>
      <c r="H13" s="48">
        <f t="shared" si="3"/>
        <v>424206</v>
      </c>
      <c r="I13" s="48">
        <f t="shared" si="3"/>
        <v>410123</v>
      </c>
      <c r="J13" s="48">
        <f t="shared" si="3"/>
        <v>293691</v>
      </c>
      <c r="K13" s="48">
        <f t="shared" si="3"/>
        <v>292485</v>
      </c>
      <c r="L13" s="48">
        <f t="shared" si="3"/>
        <v>296592</v>
      </c>
      <c r="M13" s="45">
        <f t="shared" si="0"/>
        <v>1480941</v>
      </c>
      <c r="N13" s="45">
        <f t="shared" si="1"/>
        <v>1652656</v>
      </c>
      <c r="O13" s="247">
        <f t="shared" si="2"/>
        <v>1553568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s="8" customFormat="1" ht="15" customHeight="1">
      <c r="A14" s="21"/>
      <c r="B14" s="22"/>
      <c r="C14" s="64" t="s">
        <v>487</v>
      </c>
      <c r="D14" s="60">
        <f aca="true" t="shared" si="4" ref="D14:L14">SUM(D15:D16)</f>
        <v>415973</v>
      </c>
      <c r="E14" s="60">
        <f>SUM(E15:E16)</f>
        <v>992551</v>
      </c>
      <c r="F14" s="60">
        <f t="shared" si="4"/>
        <v>852128</v>
      </c>
      <c r="G14" s="60">
        <f t="shared" si="4"/>
        <v>0</v>
      </c>
      <c r="H14" s="60">
        <f>SUM(H15:H16)</f>
        <v>0</v>
      </c>
      <c r="I14" s="60">
        <f t="shared" si="4"/>
        <v>0</v>
      </c>
      <c r="J14" s="60">
        <f t="shared" si="4"/>
        <v>0</v>
      </c>
      <c r="K14" s="60">
        <f>SUM(K15:K16)</f>
        <v>1474</v>
      </c>
      <c r="L14" s="60">
        <f t="shared" si="4"/>
        <v>1104</v>
      </c>
      <c r="M14" s="45">
        <f t="shared" si="0"/>
        <v>415973</v>
      </c>
      <c r="N14" s="45">
        <f t="shared" si="1"/>
        <v>994025</v>
      </c>
      <c r="O14" s="247">
        <f t="shared" si="2"/>
        <v>853232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" customHeight="1">
      <c r="A15" s="18"/>
      <c r="B15" s="17"/>
      <c r="C15" s="65" t="s">
        <v>1291</v>
      </c>
      <c r="D15" s="61">
        <v>218870</v>
      </c>
      <c r="E15" s="62">
        <v>297759</v>
      </c>
      <c r="F15" s="62">
        <v>286822</v>
      </c>
      <c r="G15" s="62"/>
      <c r="H15" s="62"/>
      <c r="I15" s="62"/>
      <c r="J15" s="62"/>
      <c r="K15" s="62">
        <v>1474</v>
      </c>
      <c r="L15" s="62">
        <v>1104</v>
      </c>
      <c r="M15" s="205">
        <f t="shared" si="0"/>
        <v>218870</v>
      </c>
      <c r="N15" s="205">
        <f t="shared" si="1"/>
        <v>299233</v>
      </c>
      <c r="O15" s="314">
        <f t="shared" si="2"/>
        <v>287926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" customHeight="1">
      <c r="A16" s="18"/>
      <c r="B16" s="17"/>
      <c r="C16" s="66" t="s">
        <v>1292</v>
      </c>
      <c r="D16" s="61">
        <v>197103</v>
      </c>
      <c r="E16" s="62">
        <v>694792</v>
      </c>
      <c r="F16" s="62">
        <v>565306</v>
      </c>
      <c r="G16" s="62"/>
      <c r="H16" s="62"/>
      <c r="I16" s="62"/>
      <c r="J16" s="62"/>
      <c r="K16" s="62"/>
      <c r="L16" s="62"/>
      <c r="M16" s="205">
        <f t="shared" si="0"/>
        <v>197103</v>
      </c>
      <c r="N16" s="205">
        <f t="shared" si="1"/>
        <v>694792</v>
      </c>
      <c r="O16" s="314">
        <f t="shared" si="2"/>
        <v>565306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s="8" customFormat="1" ht="15" customHeight="1">
      <c r="A17" s="21"/>
      <c r="B17" s="22"/>
      <c r="C17" s="26" t="s">
        <v>1293</v>
      </c>
      <c r="D17" s="48">
        <v>159000</v>
      </c>
      <c r="E17" s="47">
        <v>151549</v>
      </c>
      <c r="F17" s="47">
        <v>145910</v>
      </c>
      <c r="G17" s="47"/>
      <c r="H17" s="47">
        <v>122</v>
      </c>
      <c r="I17" s="47">
        <v>122</v>
      </c>
      <c r="J17" s="47"/>
      <c r="K17" s="47"/>
      <c r="L17" s="47"/>
      <c r="M17" s="45">
        <f t="shared" si="0"/>
        <v>159000</v>
      </c>
      <c r="N17" s="45">
        <f t="shared" si="1"/>
        <v>151671</v>
      </c>
      <c r="O17" s="247">
        <f t="shared" si="2"/>
        <v>146032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8" customFormat="1" ht="15" customHeight="1">
      <c r="A18" s="21"/>
      <c r="B18" s="22"/>
      <c r="C18" s="26" t="s">
        <v>1294</v>
      </c>
      <c r="D18" s="48"/>
      <c r="E18" s="47"/>
      <c r="F18" s="47"/>
      <c r="G18" s="47">
        <v>8883</v>
      </c>
      <c r="H18" s="47">
        <v>8529</v>
      </c>
      <c r="I18" s="47">
        <v>8529</v>
      </c>
      <c r="J18" s="47"/>
      <c r="K18" s="47"/>
      <c r="L18" s="47"/>
      <c r="M18" s="45">
        <f t="shared" si="0"/>
        <v>8883</v>
      </c>
      <c r="N18" s="45">
        <f t="shared" si="1"/>
        <v>8529</v>
      </c>
      <c r="O18" s="247">
        <f t="shared" si="2"/>
        <v>8529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8" customFormat="1" ht="15" customHeight="1">
      <c r="A19" s="21"/>
      <c r="B19" s="22"/>
      <c r="C19" s="26" t="s">
        <v>268</v>
      </c>
      <c r="D19" s="48">
        <v>182906</v>
      </c>
      <c r="E19" s="47">
        <v>400702</v>
      </c>
      <c r="F19" s="47">
        <v>163235</v>
      </c>
      <c r="G19" s="47">
        <v>41850</v>
      </c>
      <c r="H19" s="47">
        <v>41460</v>
      </c>
      <c r="I19" s="47">
        <v>35306</v>
      </c>
      <c r="J19" s="47"/>
      <c r="K19" s="47">
        <v>10297</v>
      </c>
      <c r="L19" s="47">
        <v>8500</v>
      </c>
      <c r="M19" s="45">
        <f t="shared" si="0"/>
        <v>224756</v>
      </c>
      <c r="N19" s="45">
        <f t="shared" si="1"/>
        <v>452459</v>
      </c>
      <c r="O19" s="247">
        <f t="shared" si="2"/>
        <v>207041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8" customFormat="1" ht="15" customHeight="1" thickBot="1">
      <c r="A20" s="23"/>
      <c r="B20" s="24"/>
      <c r="C20" s="26" t="s">
        <v>1295</v>
      </c>
      <c r="D20" s="48">
        <v>1076859</v>
      </c>
      <c r="E20" s="47">
        <v>1781565</v>
      </c>
      <c r="F20" s="47">
        <v>549111</v>
      </c>
      <c r="G20" s="47">
        <v>3030</v>
      </c>
      <c r="H20" s="47">
        <v>35321</v>
      </c>
      <c r="I20" s="47">
        <v>32016</v>
      </c>
      <c r="J20" s="47">
        <v>11000</v>
      </c>
      <c r="K20" s="47">
        <v>8348</v>
      </c>
      <c r="L20" s="47">
        <v>5984</v>
      </c>
      <c r="M20" s="45">
        <f t="shared" si="0"/>
        <v>1090889</v>
      </c>
      <c r="N20" s="45">
        <f t="shared" si="1"/>
        <v>1825234</v>
      </c>
      <c r="O20" s="247">
        <f t="shared" si="2"/>
        <v>587111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8" customFormat="1" ht="15" customHeight="1">
      <c r="A21" s="25"/>
      <c r="B21" s="25"/>
      <c r="C21" s="26" t="s">
        <v>791</v>
      </c>
      <c r="D21" s="60">
        <f>SUM(D22:D24)</f>
        <v>8500</v>
      </c>
      <c r="E21" s="60">
        <f>SUM(E22:E23)</f>
        <v>8500</v>
      </c>
      <c r="F21" s="60">
        <f>SUM(F22:F23)</f>
        <v>3650</v>
      </c>
      <c r="G21" s="48"/>
      <c r="H21" s="48"/>
      <c r="I21" s="48"/>
      <c r="J21" s="48"/>
      <c r="K21" s="47"/>
      <c r="L21" s="47"/>
      <c r="M21" s="45">
        <f t="shared" si="0"/>
        <v>8500</v>
      </c>
      <c r="N21" s="45">
        <f t="shared" si="1"/>
        <v>8500</v>
      </c>
      <c r="O21" s="247">
        <f t="shared" si="2"/>
        <v>3650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s="8" customFormat="1" ht="15" customHeight="1">
      <c r="A22" s="25"/>
      <c r="B22" s="25"/>
      <c r="C22" s="10" t="s">
        <v>207</v>
      </c>
      <c r="D22" s="61">
        <v>6000</v>
      </c>
      <c r="E22" s="62">
        <v>6000</v>
      </c>
      <c r="F22" s="62">
        <v>1700</v>
      </c>
      <c r="G22" s="62"/>
      <c r="H22" s="62"/>
      <c r="I22" s="62"/>
      <c r="J22" s="62"/>
      <c r="K22" s="62"/>
      <c r="L22" s="62"/>
      <c r="M22" s="205">
        <f t="shared" si="0"/>
        <v>6000</v>
      </c>
      <c r="N22" s="205">
        <f t="shared" si="1"/>
        <v>6000</v>
      </c>
      <c r="O22" s="314">
        <f t="shared" si="2"/>
        <v>1700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s="8" customFormat="1" ht="15" customHeight="1">
      <c r="A23" s="25"/>
      <c r="B23" s="25"/>
      <c r="C23" s="10" t="s">
        <v>208</v>
      </c>
      <c r="D23" s="61">
        <v>2500</v>
      </c>
      <c r="E23" s="62">
        <v>2500</v>
      </c>
      <c r="F23" s="62">
        <v>1950</v>
      </c>
      <c r="G23" s="62"/>
      <c r="H23" s="62"/>
      <c r="I23" s="62"/>
      <c r="J23" s="62"/>
      <c r="K23" s="62"/>
      <c r="L23" s="62"/>
      <c r="M23" s="205">
        <f t="shared" si="0"/>
        <v>2500</v>
      </c>
      <c r="N23" s="205">
        <f t="shared" si="1"/>
        <v>2500</v>
      </c>
      <c r="O23" s="314">
        <f t="shared" si="2"/>
        <v>1950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s="8" customFormat="1" ht="15" customHeight="1">
      <c r="A24" s="25"/>
      <c r="B24" s="25"/>
      <c r="C24" s="26" t="s">
        <v>20</v>
      </c>
      <c r="D24" s="48">
        <f>SUM(D25:D27)</f>
        <v>0</v>
      </c>
      <c r="E24" s="48">
        <f>SUM(E25:E27)</f>
        <v>32000</v>
      </c>
      <c r="F24" s="48">
        <f>SUM(F25:F27)</f>
        <v>9834</v>
      </c>
      <c r="G24" s="62"/>
      <c r="H24" s="62"/>
      <c r="I24" s="62"/>
      <c r="J24" s="62"/>
      <c r="K24" s="62"/>
      <c r="L24" s="62"/>
      <c r="M24" s="45">
        <f t="shared" si="0"/>
        <v>0</v>
      </c>
      <c r="N24" s="45">
        <f t="shared" si="1"/>
        <v>32000</v>
      </c>
      <c r="O24" s="247">
        <f t="shared" si="2"/>
        <v>9834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s="8" customFormat="1" ht="15" customHeight="1">
      <c r="A25" s="25"/>
      <c r="B25" s="25"/>
      <c r="C25" s="10" t="s">
        <v>21</v>
      </c>
      <c r="D25" s="61"/>
      <c r="E25" s="62">
        <v>2000</v>
      </c>
      <c r="F25" s="62">
        <v>2000</v>
      </c>
      <c r="G25" s="62"/>
      <c r="H25" s="62"/>
      <c r="I25" s="62"/>
      <c r="J25" s="62"/>
      <c r="K25" s="62"/>
      <c r="L25" s="62"/>
      <c r="M25" s="205">
        <f t="shared" si="0"/>
        <v>0</v>
      </c>
      <c r="N25" s="205">
        <f t="shared" si="1"/>
        <v>2000</v>
      </c>
      <c r="O25" s="314">
        <f t="shared" si="2"/>
        <v>2000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s="8" customFormat="1" ht="15" customHeight="1">
      <c r="A26" s="25"/>
      <c r="B26" s="25"/>
      <c r="C26" s="10" t="s">
        <v>22</v>
      </c>
      <c r="D26" s="61"/>
      <c r="E26" s="62">
        <v>5000</v>
      </c>
      <c r="F26" s="62">
        <v>5000</v>
      </c>
      <c r="G26" s="62"/>
      <c r="H26" s="62"/>
      <c r="I26" s="62"/>
      <c r="J26" s="62"/>
      <c r="K26" s="62"/>
      <c r="L26" s="62"/>
      <c r="M26" s="205">
        <f t="shared" si="0"/>
        <v>0</v>
      </c>
      <c r="N26" s="205">
        <f t="shared" si="1"/>
        <v>5000</v>
      </c>
      <c r="O26" s="314">
        <f t="shared" si="2"/>
        <v>5000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s="8" customFormat="1" ht="15" customHeight="1">
      <c r="A27" s="25"/>
      <c r="B27" s="25"/>
      <c r="C27" s="10" t="s">
        <v>751</v>
      </c>
      <c r="D27" s="61"/>
      <c r="E27" s="62">
        <v>25000</v>
      </c>
      <c r="F27" s="62">
        <v>2834</v>
      </c>
      <c r="G27" s="62"/>
      <c r="H27" s="62"/>
      <c r="I27" s="62"/>
      <c r="J27" s="62"/>
      <c r="K27" s="62"/>
      <c r="L27" s="62"/>
      <c r="M27" s="205">
        <f t="shared" si="0"/>
        <v>0</v>
      </c>
      <c r="N27" s="205">
        <f t="shared" si="1"/>
        <v>25000</v>
      </c>
      <c r="O27" s="314">
        <f t="shared" si="2"/>
        <v>2834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s="8" customFormat="1" ht="15" customHeight="1">
      <c r="A28" s="25"/>
      <c r="B28" s="25"/>
      <c r="C28" s="26" t="s">
        <v>485</v>
      </c>
      <c r="D28" s="48">
        <v>17973</v>
      </c>
      <c r="E28" s="47">
        <v>14612</v>
      </c>
      <c r="F28" s="47">
        <v>14299</v>
      </c>
      <c r="G28" s="47"/>
      <c r="H28" s="47"/>
      <c r="I28" s="47"/>
      <c r="J28" s="47"/>
      <c r="K28" s="47"/>
      <c r="L28" s="47"/>
      <c r="M28" s="45">
        <f t="shared" si="0"/>
        <v>17973</v>
      </c>
      <c r="N28" s="45">
        <f t="shared" si="1"/>
        <v>14612</v>
      </c>
      <c r="O28" s="247">
        <f t="shared" si="2"/>
        <v>14299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s="8" customFormat="1" ht="15" customHeight="1">
      <c r="A29" s="25"/>
      <c r="B29" s="25"/>
      <c r="C29" s="67" t="s">
        <v>235</v>
      </c>
      <c r="D29" s="48"/>
      <c r="E29" s="47"/>
      <c r="F29" s="47"/>
      <c r="G29" s="47"/>
      <c r="H29" s="47"/>
      <c r="I29" s="47"/>
      <c r="J29" s="47"/>
      <c r="K29" s="47"/>
      <c r="L29" s="47"/>
      <c r="M29" s="45">
        <f t="shared" si="0"/>
        <v>0</v>
      </c>
      <c r="N29" s="45">
        <f t="shared" si="1"/>
        <v>0</v>
      </c>
      <c r="O29" s="247">
        <f t="shared" si="2"/>
        <v>0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s="8" customFormat="1" ht="15" customHeight="1">
      <c r="A30" s="25"/>
      <c r="B30" s="25"/>
      <c r="C30" s="67" t="s">
        <v>1320</v>
      </c>
      <c r="D30" s="60">
        <f>SUM(D31:D37)</f>
        <v>1470931</v>
      </c>
      <c r="E30" s="60">
        <f>SUM(E31:E37)</f>
        <v>718190</v>
      </c>
      <c r="F30" s="60">
        <f>SUM(F31:F37)</f>
        <v>0</v>
      </c>
      <c r="G30" s="60"/>
      <c r="H30" s="60"/>
      <c r="I30" s="60"/>
      <c r="J30" s="60"/>
      <c r="K30" s="239"/>
      <c r="L30" s="239"/>
      <c r="M30" s="45">
        <f t="shared" si="0"/>
        <v>1470931</v>
      </c>
      <c r="N30" s="45">
        <f t="shared" si="1"/>
        <v>718190</v>
      </c>
      <c r="O30" s="247">
        <f t="shared" si="2"/>
        <v>0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8" customFormat="1" ht="15.75" customHeight="1">
      <c r="A31" s="25"/>
      <c r="B31" s="25"/>
      <c r="C31" s="10" t="s">
        <v>1008</v>
      </c>
      <c r="D31" s="61">
        <v>8000</v>
      </c>
      <c r="E31" s="62">
        <v>20000</v>
      </c>
      <c r="F31" s="62"/>
      <c r="G31" s="47"/>
      <c r="H31" s="47"/>
      <c r="I31" s="47"/>
      <c r="J31" s="47"/>
      <c r="K31" s="47"/>
      <c r="L31" s="47"/>
      <c r="M31" s="205">
        <f t="shared" si="0"/>
        <v>8000</v>
      </c>
      <c r="N31" s="205">
        <f t="shared" si="1"/>
        <v>20000</v>
      </c>
      <c r="O31" s="314">
        <f t="shared" si="2"/>
        <v>0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s="8" customFormat="1" ht="15" customHeight="1">
      <c r="A32" s="25"/>
      <c r="B32" s="25"/>
      <c r="C32" s="10" t="s">
        <v>535</v>
      </c>
      <c r="D32" s="61">
        <v>100000</v>
      </c>
      <c r="E32" s="62">
        <v>35743</v>
      </c>
      <c r="F32" s="62"/>
      <c r="G32" s="47"/>
      <c r="H32" s="47"/>
      <c r="I32" s="47"/>
      <c r="J32" s="47"/>
      <c r="K32" s="47"/>
      <c r="L32" s="47"/>
      <c r="M32" s="205">
        <f t="shared" si="0"/>
        <v>100000</v>
      </c>
      <c r="N32" s="205">
        <f t="shared" si="1"/>
        <v>35743</v>
      </c>
      <c r="O32" s="314">
        <f t="shared" si="2"/>
        <v>0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8" customFormat="1" ht="15" customHeight="1">
      <c r="A33" s="25"/>
      <c r="B33" s="25"/>
      <c r="C33" s="10" t="s">
        <v>986</v>
      </c>
      <c r="D33" s="46">
        <v>4800</v>
      </c>
      <c r="E33" s="238"/>
      <c r="F33" s="238"/>
      <c r="G33" s="69"/>
      <c r="H33" s="69"/>
      <c r="I33" s="69"/>
      <c r="J33" s="69"/>
      <c r="K33" s="69"/>
      <c r="L33" s="69"/>
      <c r="M33" s="205">
        <f t="shared" si="0"/>
        <v>4800</v>
      </c>
      <c r="N33" s="205">
        <f t="shared" si="1"/>
        <v>0</v>
      </c>
      <c r="O33" s="314">
        <f t="shared" si="2"/>
        <v>0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8" customFormat="1" ht="15" customHeight="1">
      <c r="A34" s="25"/>
      <c r="B34" s="25"/>
      <c r="C34" s="10" t="s">
        <v>193</v>
      </c>
      <c r="D34" s="46">
        <v>38556</v>
      </c>
      <c r="E34" s="238"/>
      <c r="F34" s="238"/>
      <c r="G34" s="69"/>
      <c r="H34" s="69"/>
      <c r="I34" s="69"/>
      <c r="J34" s="69"/>
      <c r="K34" s="69"/>
      <c r="L34" s="69"/>
      <c r="M34" s="205">
        <f t="shared" si="0"/>
        <v>38556</v>
      </c>
      <c r="N34" s="205">
        <f t="shared" si="1"/>
        <v>0</v>
      </c>
      <c r="O34" s="314">
        <f t="shared" si="2"/>
        <v>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s="8" customFormat="1" ht="15.75" customHeight="1">
      <c r="A35" s="25"/>
      <c r="B35" s="25"/>
      <c r="C35" s="68" t="s">
        <v>1087</v>
      </c>
      <c r="D35" s="46">
        <v>1200000</v>
      </c>
      <c r="E35" s="238">
        <v>635061</v>
      </c>
      <c r="F35" s="238"/>
      <c r="G35" s="69"/>
      <c r="H35" s="69"/>
      <c r="I35" s="69"/>
      <c r="J35" s="69"/>
      <c r="K35" s="69"/>
      <c r="L35" s="69"/>
      <c r="M35" s="205">
        <f t="shared" si="0"/>
        <v>1200000</v>
      </c>
      <c r="N35" s="205">
        <f t="shared" si="1"/>
        <v>635061</v>
      </c>
      <c r="O35" s="314">
        <f t="shared" si="2"/>
        <v>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s="8" customFormat="1" ht="15" customHeight="1">
      <c r="A36" s="25"/>
      <c r="B36" s="25"/>
      <c r="C36" s="115" t="s">
        <v>985</v>
      </c>
      <c r="D36" s="46">
        <v>50000</v>
      </c>
      <c r="E36" s="238">
        <v>111</v>
      </c>
      <c r="F36" s="238"/>
      <c r="G36" s="69"/>
      <c r="H36" s="69"/>
      <c r="I36" s="69"/>
      <c r="J36" s="69"/>
      <c r="K36" s="69"/>
      <c r="L36" s="69"/>
      <c r="M36" s="205">
        <f t="shared" si="0"/>
        <v>50000</v>
      </c>
      <c r="N36" s="205">
        <f t="shared" si="1"/>
        <v>111</v>
      </c>
      <c r="O36" s="314">
        <f t="shared" si="2"/>
        <v>0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s="8" customFormat="1" ht="15" customHeight="1">
      <c r="A37" s="25"/>
      <c r="B37" s="25"/>
      <c r="C37" s="115" t="s">
        <v>1085</v>
      </c>
      <c r="D37" s="46">
        <v>69575</v>
      </c>
      <c r="E37" s="238">
        <v>27275</v>
      </c>
      <c r="F37" s="238"/>
      <c r="G37" s="69"/>
      <c r="H37" s="69"/>
      <c r="I37" s="69"/>
      <c r="J37" s="69"/>
      <c r="K37" s="69"/>
      <c r="L37" s="69"/>
      <c r="M37" s="205">
        <f t="shared" si="0"/>
        <v>69575</v>
      </c>
      <c r="N37" s="205">
        <f t="shared" si="1"/>
        <v>27275</v>
      </c>
      <c r="O37" s="314">
        <f t="shared" si="2"/>
        <v>0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8" customFormat="1" ht="15" customHeight="1">
      <c r="A38" s="25"/>
      <c r="B38" s="25"/>
      <c r="C38" s="316" t="s">
        <v>36</v>
      </c>
      <c r="D38" s="246"/>
      <c r="E38" s="69"/>
      <c r="F38" s="69">
        <v>129118</v>
      </c>
      <c r="G38" s="69"/>
      <c r="H38" s="69"/>
      <c r="I38" s="69">
        <v>202</v>
      </c>
      <c r="J38" s="69"/>
      <c r="K38" s="69"/>
      <c r="L38" s="69">
        <v>-7800</v>
      </c>
      <c r="M38" s="45">
        <f t="shared" si="0"/>
        <v>0</v>
      </c>
      <c r="N38" s="45">
        <f t="shared" si="1"/>
        <v>0</v>
      </c>
      <c r="O38" s="247">
        <f t="shared" si="2"/>
        <v>121520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s="8" customFormat="1" ht="15" customHeight="1">
      <c r="A39" s="25"/>
      <c r="B39" s="25"/>
      <c r="C39" s="63" t="s">
        <v>34</v>
      </c>
      <c r="D39" s="48"/>
      <c r="E39" s="48"/>
      <c r="F39" s="48">
        <v>10449</v>
      </c>
      <c r="G39" s="48"/>
      <c r="H39" s="48"/>
      <c r="I39" s="48"/>
      <c r="J39" s="48"/>
      <c r="K39" s="48"/>
      <c r="L39" s="48"/>
      <c r="M39" s="45">
        <f t="shared" si="0"/>
        <v>0</v>
      </c>
      <c r="N39" s="45">
        <f t="shared" si="1"/>
        <v>0</v>
      </c>
      <c r="O39" s="247">
        <f t="shared" si="2"/>
        <v>10449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s="8" customFormat="1" ht="15" customHeight="1">
      <c r="A40" s="25"/>
      <c r="B40" s="25"/>
      <c r="C40" s="64" t="s">
        <v>790</v>
      </c>
      <c r="D40" s="246">
        <v>0</v>
      </c>
      <c r="E40" s="69">
        <v>7511</v>
      </c>
      <c r="F40" s="69">
        <v>3830</v>
      </c>
      <c r="G40" s="69"/>
      <c r="H40" s="69"/>
      <c r="I40" s="69"/>
      <c r="J40" s="69"/>
      <c r="K40" s="69"/>
      <c r="L40" s="69"/>
      <c r="M40" s="45">
        <f t="shared" si="0"/>
        <v>0</v>
      </c>
      <c r="N40" s="45">
        <f t="shared" si="1"/>
        <v>7511</v>
      </c>
      <c r="O40" s="247">
        <f t="shared" si="2"/>
        <v>3830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s="8" customFormat="1" ht="15" customHeight="1">
      <c r="A41" s="25"/>
      <c r="B41" s="25"/>
      <c r="C41" s="63"/>
      <c r="D41" s="48"/>
      <c r="E41" s="48"/>
      <c r="F41" s="48"/>
      <c r="G41" s="48"/>
      <c r="H41" s="48"/>
      <c r="I41" s="48"/>
      <c r="J41" s="48"/>
      <c r="K41" s="48"/>
      <c r="L41" s="48"/>
      <c r="M41" s="45">
        <f t="shared" si="0"/>
        <v>0</v>
      </c>
      <c r="N41" s="45">
        <f t="shared" si="1"/>
        <v>0</v>
      </c>
      <c r="O41" s="247">
        <f t="shared" si="2"/>
        <v>0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s="8" customFormat="1" ht="15" customHeight="1" thickBot="1">
      <c r="A42" s="25"/>
      <c r="B42" s="25"/>
      <c r="C42" s="317" t="s">
        <v>35</v>
      </c>
      <c r="D42" s="70">
        <f>SUM(D9+D10+D13+D14+D17+D18+D19+D20+D21+D24+D28+D29+D30+D38+D39+D40)</f>
        <v>4765926</v>
      </c>
      <c r="E42" s="70">
        <f aca="true" t="shared" si="5" ref="E42:O42">SUM(E9+E10+E13+E14+E17+E18+E19+E20+E21+E24+E28+E29+E30+E38+E39+E40)</f>
        <v>5724821</v>
      </c>
      <c r="F42" s="70">
        <f t="shared" si="5"/>
        <v>3379634</v>
      </c>
      <c r="G42" s="70">
        <f t="shared" si="5"/>
        <v>1562792</v>
      </c>
      <c r="H42" s="70">
        <f t="shared" si="5"/>
        <v>1719278</v>
      </c>
      <c r="I42" s="70">
        <f t="shared" si="5"/>
        <v>1676056</v>
      </c>
      <c r="J42" s="70">
        <f t="shared" si="5"/>
        <v>821826</v>
      </c>
      <c r="K42" s="70">
        <f t="shared" si="5"/>
        <v>836751</v>
      </c>
      <c r="L42" s="70">
        <f t="shared" si="5"/>
        <v>828208</v>
      </c>
      <c r="M42" s="70">
        <f t="shared" si="5"/>
        <v>7150544</v>
      </c>
      <c r="N42" s="70">
        <f t="shared" si="5"/>
        <v>8280850</v>
      </c>
      <c r="O42" s="382">
        <f t="shared" si="5"/>
        <v>5883898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="1" customFormat="1" ht="25.5" customHeight="1" thickTop="1"/>
    <row r="44" s="1" customFormat="1" ht="25.5" customHeight="1"/>
    <row r="45" spans="3:27" ht="25.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3:27" ht="25.5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3:27" ht="25.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3:27" ht="25.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3:27" ht="25.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3:27" ht="25.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3:27" ht="25.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3:27" ht="25.5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3:27" ht="25.5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3:27" ht="25.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3:27" ht="25.5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3:27" ht="25.5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3:27" ht="25.5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3:27" ht="25.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3:27" ht="25.5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3:27" ht="25.5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3:27" ht="25.5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3:27" ht="25.5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3:27" ht="25.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3:27" ht="25.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3:27" ht="25.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3:27" ht="25.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3:27" ht="25.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3:27" ht="25.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3:12" ht="25.5" customHeight="1"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3:12" ht="25.5" customHeight="1"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3:12" ht="25.5" customHeight="1"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3:12" ht="25.5" customHeight="1"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3:12" ht="25.5" customHeight="1"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3:12" ht="25.5" customHeight="1"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3:12" ht="25.5" customHeight="1"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3:12" ht="25.5" customHeight="1"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3:12" ht="25.5" customHeight="1"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3:12" ht="25.5" customHeight="1"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3:12" ht="25.5" customHeight="1"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3:12" ht="25.5" customHeight="1"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3:12" ht="25.5" customHeight="1"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3:12" ht="25.5" customHeight="1"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3:12" ht="25.5" customHeight="1"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3:12" ht="25.5" customHeight="1"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3:12" ht="25.5" customHeight="1"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3:12" ht="25.5" customHeight="1"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3:12" ht="25.5" customHeight="1"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3:12" ht="25.5" customHeight="1"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3:12" ht="25.5" customHeight="1"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3:12" ht="25.5" customHeight="1"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3:12" ht="25.5" customHeight="1"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3:12" ht="25.5" customHeight="1"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3:12" ht="25.5" customHeight="1"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3:12" ht="25.5" customHeight="1"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3:12" ht="25.5" customHeight="1"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3:12" ht="25.5" customHeight="1"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3:12" ht="25.5" customHeight="1"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3:12" ht="25.5" customHeight="1"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3:12" ht="25.5" customHeight="1"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3:12" ht="25.5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3:12" ht="25.5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3:12" ht="25.5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3:12" ht="25.5" customHeight="1"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3:12" ht="25.5" customHeight="1"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3:12" ht="25.5" customHeight="1"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3:12" ht="25.5" customHeight="1"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3:12" ht="25.5" customHeight="1"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3:12" ht="25.5" customHeight="1"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3:12" ht="25.5" customHeight="1"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3:12" ht="25.5" customHeight="1"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3:12" ht="25.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3:12" ht="25.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3:12" ht="25.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3:12" ht="25.5" customHeight="1"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3:12" ht="25.5" customHeight="1"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3:12" ht="25.5" customHeight="1"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3:12" ht="25.5" customHeight="1"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3:12" ht="25.5" customHeight="1"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3:12" ht="25.5" customHeight="1"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3:12" ht="25.5" customHeight="1"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3:12" ht="25.5" customHeight="1"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3:12" ht="25.5" customHeight="1"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3:12" ht="25.5" customHeight="1"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3:12" ht="25.5" customHeight="1"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3:12" ht="25.5" customHeight="1"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3:12" ht="25.5" customHeight="1"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3:12" ht="25.5" customHeight="1"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3:12" ht="25.5" customHeight="1"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3:12" ht="25.5" customHeight="1"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3:12" ht="25.5" customHeight="1"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3:12" ht="25.5" customHeight="1"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3:12" ht="25.5" customHeight="1"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3:12" ht="25.5" customHeight="1"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3:12" ht="25.5" customHeight="1"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3:12" ht="25.5" customHeight="1"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3:12" ht="25.5" customHeight="1"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3:12" ht="25.5" customHeight="1"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3:12" ht="25.5" customHeight="1"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3:12" ht="25.5" customHeight="1"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3:12" ht="25.5" customHeight="1"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3:12" ht="25.5" customHeight="1"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3:12" ht="25.5" customHeight="1"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3:12" ht="25.5" customHeight="1"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3:12" ht="25.5" customHeight="1"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3:12" ht="25.5" customHeight="1"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3:12" ht="25.5" customHeight="1"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3:12" ht="25.5" customHeight="1"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3:12" ht="25.5" customHeight="1"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3:12" ht="25.5" customHeight="1"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3:12" ht="25.5" customHeight="1"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3:12" ht="25.5" customHeight="1"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3:12" ht="25.5" customHeight="1"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3:12" ht="25.5" customHeight="1"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3:12" ht="25.5" customHeight="1"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3:12" ht="25.5" customHeight="1"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3:12" ht="25.5" customHeight="1"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3:12" ht="25.5" customHeight="1"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3:12" ht="25.5" customHeight="1"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3:12" ht="25.5" customHeight="1"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3:12" ht="25.5" customHeight="1"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3:12" ht="25.5" customHeight="1"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3:12" ht="25.5" customHeight="1"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3:12" ht="25.5" customHeight="1"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3:12" ht="25.5" customHeight="1"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3:12" ht="25.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3:12" ht="25.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3:12" ht="25.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3:12" ht="25.5" customHeight="1"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3:12" ht="25.5" customHeight="1"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3:12" ht="25.5" customHeight="1"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3:12" ht="25.5" customHeight="1"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3:12" ht="25.5" customHeight="1"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3:12" ht="25.5" customHeight="1"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3:12" ht="25.5" customHeight="1"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3:12" ht="25.5" customHeight="1"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3:12" ht="25.5" customHeight="1"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3:12" ht="25.5" customHeight="1"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3:12" ht="25.5" customHeight="1"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3:12" ht="25.5" customHeight="1"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3:12" ht="25.5" customHeight="1"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3:12" ht="25.5" customHeight="1"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3:12" ht="25.5" customHeight="1"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3:12" ht="25.5" customHeight="1"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3:12" ht="25.5" customHeight="1"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3:12" ht="25.5" customHeight="1"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3:12" ht="25.5" customHeight="1"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3:12" ht="25.5" customHeight="1"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3:12" ht="25.5" customHeight="1"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3:12" ht="25.5" customHeight="1"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3:12" ht="25.5" customHeight="1"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3:12" ht="25.5" customHeight="1"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3:12" ht="25.5" customHeight="1"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3:12" ht="25.5" customHeight="1"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3:12" ht="25.5" customHeight="1"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3:12" ht="25.5" customHeight="1"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3:12" ht="25.5" customHeight="1"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3:12" ht="25.5" customHeight="1"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3:12" ht="25.5" customHeight="1"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3:12" ht="25.5" customHeight="1"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3:12" ht="25.5" customHeight="1"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3:12" ht="25.5" customHeight="1"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3:12" ht="25.5" customHeight="1"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3:12" ht="25.5" customHeight="1"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3:12" ht="25.5" customHeight="1"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3:12" ht="25.5" customHeight="1"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3:12" ht="25.5" customHeight="1"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3:12" ht="25.5" customHeight="1"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3:12" ht="25.5" customHeight="1"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3:12" ht="25.5" customHeight="1"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3:12" ht="25.5" customHeight="1"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3:12" ht="25.5" customHeight="1"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3:12" ht="25.5" customHeight="1"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3:12" ht="25.5" customHeight="1"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3:12" ht="25.5" customHeight="1"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3:12" ht="25.5" customHeight="1"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3:12" ht="25.5" customHeight="1"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3:12" ht="25.5" customHeight="1"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3:12" ht="25.5" customHeight="1"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3:12" ht="25.5" customHeight="1"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3:12" ht="25.5" customHeight="1"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3:12" ht="25.5" customHeight="1"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3:12" ht="25.5" customHeight="1"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3:12" ht="25.5" customHeight="1"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3:12" ht="25.5" customHeight="1"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3:12" ht="25.5" customHeight="1"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3:12" ht="25.5" customHeight="1"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3:12" ht="25.5" customHeight="1"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3:12" ht="25.5" customHeight="1"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3:12" ht="25.5" customHeight="1"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3:12" ht="25.5" customHeight="1"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3:12" ht="25.5" customHeight="1"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3:12" ht="25.5" customHeight="1"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3:12" ht="25.5" customHeight="1"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3:12" ht="25.5" customHeight="1"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3:12" ht="25.5" customHeight="1"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3:12" ht="25.5" customHeight="1"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3:12" ht="25.5" customHeight="1"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3:12" ht="25.5" customHeight="1"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3:12" ht="25.5" customHeight="1"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3:12" ht="25.5" customHeight="1"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3:12" ht="25.5" customHeight="1"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3:12" ht="25.5" customHeight="1"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3:12" ht="25.5" customHeight="1"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3:12" ht="25.5" customHeight="1"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3:12" ht="25.5" customHeight="1"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3:12" ht="25.5" customHeight="1"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3:12" ht="25.5" customHeight="1"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3:12" ht="25.5" customHeight="1"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3:12" ht="25.5" customHeight="1"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3:12" ht="25.5" customHeight="1"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3:12" ht="25.5" customHeight="1"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3:12" ht="25.5" customHeight="1"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3:12" ht="25.5" customHeight="1"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3:12" ht="25.5" customHeight="1"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3:12" ht="25.5" customHeight="1"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3:12" ht="25.5" customHeight="1"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3:12" ht="25.5" customHeight="1"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3:12" ht="25.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3:12" ht="25.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3:12" ht="25.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3:12" ht="25.5" customHeight="1"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3:12" ht="25.5" customHeight="1"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3:12" ht="25.5" customHeight="1"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3:12" ht="25.5" customHeight="1"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3:12" ht="25.5" customHeight="1"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3:12" ht="25.5" customHeight="1"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3:12" ht="25.5" customHeight="1"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3:12" ht="25.5" customHeight="1"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3:12" ht="25.5" customHeight="1"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3:12" ht="25.5" customHeight="1"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3:12" ht="25.5" customHeight="1"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3:12" ht="25.5" customHeight="1"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3:12" ht="25.5" customHeight="1">
      <c r="C273" s="1"/>
      <c r="D273" s="1"/>
      <c r="E273" s="1"/>
      <c r="F273" s="1"/>
      <c r="G273" s="1"/>
      <c r="H273" s="1"/>
      <c r="I273" s="1"/>
      <c r="J273" s="1"/>
      <c r="K273" s="1"/>
      <c r="L273" s="1"/>
    </row>
  </sheetData>
  <mergeCells count="7">
    <mergeCell ref="D7:F7"/>
    <mergeCell ref="C3:O3"/>
    <mergeCell ref="C4:O4"/>
    <mergeCell ref="C5:M5"/>
    <mergeCell ref="M7:O7"/>
    <mergeCell ref="J7:L7"/>
    <mergeCell ref="G7:I7"/>
  </mergeCells>
  <printOptions/>
  <pageMargins left="0.2" right="0" top="0.35433070866141736" bottom="0.35433070866141736" header="0.2755905511811024" footer="0.2362204724409449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5"/>
  <sheetViews>
    <sheetView workbookViewId="0" topLeftCell="A1">
      <selection activeCell="C26" sqref="C26"/>
    </sheetView>
  </sheetViews>
  <sheetFormatPr defaultColWidth="9.00390625" defaultRowHeight="12.75"/>
  <cols>
    <col min="1" max="1" width="8.00390625" style="37" customWidth="1"/>
    <col min="2" max="2" width="5.75390625" style="34" customWidth="1"/>
    <col min="3" max="3" width="67.125" style="34" customWidth="1"/>
    <col min="4" max="4" width="10.625" style="116" customWidth="1"/>
    <col min="5" max="5" width="9.25390625" style="35" customWidth="1"/>
    <col min="6" max="6" width="9.00390625" style="34" customWidth="1"/>
    <col min="7" max="8" width="8.75390625" style="34" customWidth="1"/>
    <col min="9" max="9" width="9.625" style="34" customWidth="1"/>
    <col min="10" max="10" width="9.375" style="34" customWidth="1"/>
    <col min="11" max="11" width="10.125" style="34" customWidth="1"/>
    <col min="12" max="12" width="9.375" style="34" customWidth="1"/>
    <col min="13" max="13" width="9.125" style="34" customWidth="1"/>
    <col min="14" max="14" width="8.875" style="36" customWidth="1"/>
    <col min="15" max="15" width="9.625" style="34" customWidth="1"/>
    <col min="16" max="16384" width="9.125" style="34" customWidth="1"/>
  </cols>
  <sheetData>
    <row r="1" ht="12.75">
      <c r="A1" s="33" t="s">
        <v>209</v>
      </c>
    </row>
    <row r="2" ht="10.5" customHeight="1"/>
    <row r="3" spans="1:15" ht="15.75" customHeight="1">
      <c r="A3" s="1125" t="s">
        <v>69</v>
      </c>
      <c r="B3" s="1126"/>
      <c r="C3" s="1126"/>
      <c r="D3" s="1126"/>
      <c r="E3" s="1126"/>
      <c r="F3" s="1126"/>
      <c r="G3" s="1126"/>
      <c r="H3" s="1126"/>
      <c r="I3" s="1126"/>
      <c r="J3" s="1126"/>
      <c r="K3" s="1126"/>
      <c r="L3" s="1126"/>
      <c r="M3" s="1126"/>
      <c r="N3" s="1126"/>
      <c r="O3" s="1126"/>
    </row>
    <row r="4" spans="1:15" ht="12.75" customHeight="1">
      <c r="A4" s="1134"/>
      <c r="B4" s="1048"/>
      <c r="C4" s="1048"/>
      <c r="D4" s="1048"/>
      <c r="E4" s="1048"/>
      <c r="F4" s="1048"/>
      <c r="G4" s="1048"/>
      <c r="H4" s="1048"/>
      <c r="I4" s="1048"/>
      <c r="J4" s="1048"/>
      <c r="K4" s="1048"/>
      <c r="L4" s="1048"/>
      <c r="M4" s="1048"/>
      <c r="N4" s="1048"/>
      <c r="O4" s="1048"/>
    </row>
    <row r="5" spans="13:15" ht="11.25" customHeight="1" thickBot="1">
      <c r="M5" s="38"/>
      <c r="N5" s="39"/>
      <c r="O5" s="39" t="s">
        <v>210</v>
      </c>
    </row>
    <row r="6" spans="1:15" s="40" customFormat="1" ht="13.5" thickTop="1">
      <c r="A6" s="1113" t="s">
        <v>1334</v>
      </c>
      <c r="B6" s="1114"/>
      <c r="C6" s="1114"/>
      <c r="D6" s="1115"/>
      <c r="E6" s="1128" t="s">
        <v>226</v>
      </c>
      <c r="F6" s="1131" t="s">
        <v>1335</v>
      </c>
      <c r="G6" s="73" t="s">
        <v>1336</v>
      </c>
      <c r="H6" s="74"/>
      <c r="I6" s="74"/>
      <c r="J6" s="75"/>
      <c r="K6" s="75"/>
      <c r="L6" s="73" t="s">
        <v>511</v>
      </c>
      <c r="M6" s="74"/>
      <c r="N6" s="1089" t="s">
        <v>757</v>
      </c>
      <c r="O6" s="1030" t="s">
        <v>1315</v>
      </c>
    </row>
    <row r="7" spans="1:15" s="40" customFormat="1" ht="12">
      <c r="A7" s="1116"/>
      <c r="B7" s="1127"/>
      <c r="C7" s="1127"/>
      <c r="D7" s="1118"/>
      <c r="E7" s="1129"/>
      <c r="F7" s="1132"/>
      <c r="G7" s="1096" t="s">
        <v>752</v>
      </c>
      <c r="H7" s="1096" t="s">
        <v>753</v>
      </c>
      <c r="I7" s="1096" t="s">
        <v>754</v>
      </c>
      <c r="J7" s="1096" t="s">
        <v>755</v>
      </c>
      <c r="K7" s="1096" t="s">
        <v>756</v>
      </c>
      <c r="L7" s="1033" t="s">
        <v>1330</v>
      </c>
      <c r="M7" s="1033" t="s">
        <v>1311</v>
      </c>
      <c r="N7" s="1090"/>
      <c r="O7" s="1031"/>
    </row>
    <row r="8" spans="1:15" s="40" customFormat="1" ht="39" customHeight="1" thickBot="1">
      <c r="A8" s="1119"/>
      <c r="B8" s="1120"/>
      <c r="C8" s="1120"/>
      <c r="D8" s="1121"/>
      <c r="E8" s="1130"/>
      <c r="F8" s="1133"/>
      <c r="G8" s="1091"/>
      <c r="H8" s="1091"/>
      <c r="I8" s="1091"/>
      <c r="J8" s="1091"/>
      <c r="K8" s="1091"/>
      <c r="L8" s="1034"/>
      <c r="M8" s="1034"/>
      <c r="N8" s="1091"/>
      <c r="O8" s="1032"/>
    </row>
    <row r="9" spans="1:15" s="40" customFormat="1" ht="12" customHeight="1" thickTop="1">
      <c r="A9" s="83" t="s">
        <v>533</v>
      </c>
      <c r="B9" s="1094" t="s">
        <v>1337</v>
      </c>
      <c r="C9" s="1095"/>
      <c r="D9" s="117" t="s">
        <v>516</v>
      </c>
      <c r="E9" s="84">
        <v>720</v>
      </c>
      <c r="F9" s="79">
        <f>SUM(G9:O9)</f>
        <v>143660</v>
      </c>
      <c r="G9" s="80"/>
      <c r="H9" s="80"/>
      <c r="I9" s="80">
        <v>60660</v>
      </c>
      <c r="J9" s="80">
        <v>33000</v>
      </c>
      <c r="K9" s="80"/>
      <c r="L9" s="80"/>
      <c r="M9" s="81">
        <v>50000</v>
      </c>
      <c r="N9" s="79"/>
      <c r="O9" s="82"/>
    </row>
    <row r="10" spans="1:15" s="40" customFormat="1" ht="12" customHeight="1">
      <c r="A10" s="83"/>
      <c r="B10" s="172"/>
      <c r="C10" s="173"/>
      <c r="D10" s="444" t="s">
        <v>903</v>
      </c>
      <c r="E10" s="84">
        <v>168106</v>
      </c>
      <c r="F10" s="79">
        <f aca="true" t="shared" si="0" ref="F10:F60">SUM(G10:O10)</f>
        <v>406066</v>
      </c>
      <c r="G10" s="80"/>
      <c r="H10" s="80"/>
      <c r="I10" s="80">
        <v>70680</v>
      </c>
      <c r="J10" s="80">
        <v>43000</v>
      </c>
      <c r="K10" s="80"/>
      <c r="L10" s="80"/>
      <c r="M10" s="81">
        <v>292386</v>
      </c>
      <c r="N10" s="79"/>
      <c r="O10" s="82"/>
    </row>
    <row r="11" spans="1:15" s="40" customFormat="1" ht="12" customHeight="1">
      <c r="A11" s="83"/>
      <c r="B11" s="172"/>
      <c r="C11" s="173"/>
      <c r="D11" s="444" t="s">
        <v>386</v>
      </c>
      <c r="E11" s="84">
        <v>168205</v>
      </c>
      <c r="F11" s="79">
        <f t="shared" si="0"/>
        <v>105208</v>
      </c>
      <c r="G11" s="80"/>
      <c r="H11" s="80"/>
      <c r="I11" s="80">
        <v>70667</v>
      </c>
      <c r="J11" s="80">
        <v>33000</v>
      </c>
      <c r="K11" s="80">
        <v>10</v>
      </c>
      <c r="L11" s="80"/>
      <c r="M11" s="81">
        <v>1531</v>
      </c>
      <c r="N11" s="79"/>
      <c r="O11" s="82"/>
    </row>
    <row r="12" spans="1:15" s="40" customFormat="1" ht="12" customHeight="1">
      <c r="A12" s="85"/>
      <c r="B12" s="1094" t="s">
        <v>219</v>
      </c>
      <c r="C12" s="1095"/>
      <c r="D12" s="117" t="s">
        <v>516</v>
      </c>
      <c r="E12" s="78"/>
      <c r="F12" s="79">
        <f t="shared" si="0"/>
        <v>6840</v>
      </c>
      <c r="G12" s="80"/>
      <c r="H12" s="80"/>
      <c r="I12" s="80">
        <v>6840</v>
      </c>
      <c r="J12" s="80"/>
      <c r="K12" s="80"/>
      <c r="L12" s="80"/>
      <c r="M12" s="81"/>
      <c r="N12" s="79"/>
      <c r="O12" s="82"/>
    </row>
    <row r="13" spans="1:15" s="40" customFormat="1" ht="12" customHeight="1">
      <c r="A13" s="85"/>
      <c r="B13" s="172"/>
      <c r="C13" s="173"/>
      <c r="D13" s="444" t="s">
        <v>903</v>
      </c>
      <c r="E13" s="79"/>
      <c r="F13" s="79">
        <f t="shared" si="0"/>
        <v>10973</v>
      </c>
      <c r="G13" s="80"/>
      <c r="H13" s="80"/>
      <c r="I13" s="80">
        <v>4075</v>
      </c>
      <c r="J13" s="80"/>
      <c r="K13" s="80"/>
      <c r="L13" s="80">
        <v>6898</v>
      </c>
      <c r="M13" s="81"/>
      <c r="N13" s="79"/>
      <c r="O13" s="82"/>
    </row>
    <row r="14" spans="1:15" s="40" customFormat="1" ht="12" customHeight="1">
      <c r="A14" s="85"/>
      <c r="B14" s="172"/>
      <c r="C14" s="173"/>
      <c r="D14" s="444" t="s">
        <v>386</v>
      </c>
      <c r="E14" s="79"/>
      <c r="F14" s="79">
        <f t="shared" si="0"/>
        <v>10977</v>
      </c>
      <c r="G14" s="80"/>
      <c r="H14" s="80"/>
      <c r="I14" s="80">
        <v>4078</v>
      </c>
      <c r="J14" s="80"/>
      <c r="K14" s="80"/>
      <c r="L14" s="80">
        <v>6899</v>
      </c>
      <c r="M14" s="81"/>
      <c r="N14" s="79"/>
      <c r="O14" s="82"/>
    </row>
    <row r="15" spans="1:15" s="40" customFormat="1" ht="12" customHeight="1">
      <c r="A15" s="87" t="s">
        <v>263</v>
      </c>
      <c r="B15" s="1094" t="s">
        <v>504</v>
      </c>
      <c r="C15" s="1095"/>
      <c r="D15" s="117" t="s">
        <v>516</v>
      </c>
      <c r="E15" s="79"/>
      <c r="F15" s="79">
        <f t="shared" si="0"/>
        <v>8876</v>
      </c>
      <c r="G15" s="80"/>
      <c r="H15" s="80"/>
      <c r="I15" s="80">
        <v>8876</v>
      </c>
      <c r="J15" s="80"/>
      <c r="K15" s="80"/>
      <c r="L15" s="80"/>
      <c r="M15" s="81"/>
      <c r="N15" s="79"/>
      <c r="O15" s="82"/>
    </row>
    <row r="16" spans="1:15" s="40" customFormat="1" ht="12" customHeight="1">
      <c r="A16" s="87"/>
      <c r="B16" s="169"/>
      <c r="C16" s="173"/>
      <c r="D16" s="444" t="s">
        <v>903</v>
      </c>
      <c r="E16" s="79"/>
      <c r="F16" s="79">
        <f t="shared" si="0"/>
        <v>8251</v>
      </c>
      <c r="G16" s="80"/>
      <c r="H16" s="80"/>
      <c r="I16" s="80">
        <v>8251</v>
      </c>
      <c r="J16" s="80"/>
      <c r="K16" s="80"/>
      <c r="L16" s="80"/>
      <c r="M16" s="81"/>
      <c r="N16" s="79"/>
      <c r="O16" s="82"/>
    </row>
    <row r="17" spans="1:15" s="40" customFormat="1" ht="12" customHeight="1">
      <c r="A17" s="87"/>
      <c r="B17" s="169"/>
      <c r="C17" s="173"/>
      <c r="D17" s="444" t="s">
        <v>386</v>
      </c>
      <c r="E17" s="79"/>
      <c r="F17" s="79">
        <f t="shared" si="0"/>
        <v>7891</v>
      </c>
      <c r="G17" s="80"/>
      <c r="H17" s="80"/>
      <c r="I17" s="80">
        <v>7891</v>
      </c>
      <c r="J17" s="80"/>
      <c r="K17" s="80"/>
      <c r="L17" s="80"/>
      <c r="M17" s="81"/>
      <c r="N17" s="79"/>
      <c r="O17" s="82"/>
    </row>
    <row r="18" spans="1:15" s="40" customFormat="1" ht="12" customHeight="1">
      <c r="A18" s="87" t="s">
        <v>988</v>
      </c>
      <c r="B18" s="1097" t="s">
        <v>1007</v>
      </c>
      <c r="C18" s="1098"/>
      <c r="D18" s="117" t="s">
        <v>516</v>
      </c>
      <c r="E18" s="79"/>
      <c r="F18" s="79">
        <f t="shared" si="0"/>
        <v>14000</v>
      </c>
      <c r="G18" s="80"/>
      <c r="H18" s="80"/>
      <c r="I18" s="80">
        <v>14000</v>
      </c>
      <c r="J18" s="80"/>
      <c r="K18" s="80"/>
      <c r="L18" s="80"/>
      <c r="M18" s="81"/>
      <c r="N18" s="79"/>
      <c r="O18" s="82"/>
    </row>
    <row r="19" spans="1:15" s="40" customFormat="1" ht="12" customHeight="1">
      <c r="A19" s="87"/>
      <c r="B19" s="169"/>
      <c r="C19" s="170"/>
      <c r="D19" s="444" t="s">
        <v>903</v>
      </c>
      <c r="E19" s="79"/>
      <c r="F19" s="79">
        <f t="shared" si="0"/>
        <v>12700</v>
      </c>
      <c r="G19" s="80"/>
      <c r="H19" s="80"/>
      <c r="I19" s="80">
        <v>12600</v>
      </c>
      <c r="J19" s="80">
        <v>100</v>
      </c>
      <c r="K19" s="80"/>
      <c r="L19" s="80"/>
      <c r="M19" s="81"/>
      <c r="N19" s="79"/>
      <c r="O19" s="82"/>
    </row>
    <row r="20" spans="1:15" s="40" customFormat="1" ht="12" customHeight="1">
      <c r="A20" s="87"/>
      <c r="B20" s="169"/>
      <c r="C20" s="170"/>
      <c r="D20" s="444" t="s">
        <v>386</v>
      </c>
      <c r="E20" s="79"/>
      <c r="F20" s="79">
        <f t="shared" si="0"/>
        <v>10346</v>
      </c>
      <c r="G20" s="80"/>
      <c r="H20" s="80"/>
      <c r="I20" s="80">
        <v>10246</v>
      </c>
      <c r="J20" s="80">
        <v>100</v>
      </c>
      <c r="K20" s="80"/>
      <c r="L20" s="80"/>
      <c r="M20" s="81"/>
      <c r="N20" s="79"/>
      <c r="O20" s="82"/>
    </row>
    <row r="21" spans="1:15" s="40" customFormat="1" ht="12" customHeight="1">
      <c r="A21" s="87" t="s">
        <v>262</v>
      </c>
      <c r="B21" s="1094" t="s">
        <v>1338</v>
      </c>
      <c r="C21" s="1095"/>
      <c r="D21" s="117" t="s">
        <v>516</v>
      </c>
      <c r="E21" s="79">
        <v>3000</v>
      </c>
      <c r="F21" s="79">
        <f t="shared" si="0"/>
        <v>438967</v>
      </c>
      <c r="G21" s="80"/>
      <c r="H21" s="80"/>
      <c r="I21" s="80"/>
      <c r="J21" s="80">
        <v>9703</v>
      </c>
      <c r="K21" s="80"/>
      <c r="L21" s="80">
        <v>100515</v>
      </c>
      <c r="M21" s="81">
        <v>328749</v>
      </c>
      <c r="N21" s="78"/>
      <c r="O21" s="86"/>
    </row>
    <row r="22" spans="1:15" s="40" customFormat="1" ht="12" customHeight="1">
      <c r="A22" s="87"/>
      <c r="B22" s="172"/>
      <c r="C22" s="173"/>
      <c r="D22" s="444" t="s">
        <v>903</v>
      </c>
      <c r="E22" s="79">
        <v>18661</v>
      </c>
      <c r="F22" s="79">
        <f t="shared" si="0"/>
        <v>596825</v>
      </c>
      <c r="G22" s="80"/>
      <c r="H22" s="80"/>
      <c r="I22" s="80"/>
      <c r="J22" s="80">
        <v>41863</v>
      </c>
      <c r="K22" s="80"/>
      <c r="L22" s="80">
        <v>247422</v>
      </c>
      <c r="M22" s="81">
        <v>307540</v>
      </c>
      <c r="N22" s="78"/>
      <c r="O22" s="86"/>
    </row>
    <row r="23" spans="1:15" s="40" customFormat="1" ht="12" customHeight="1">
      <c r="A23" s="87"/>
      <c r="B23" s="172"/>
      <c r="C23" s="173"/>
      <c r="D23" s="444" t="s">
        <v>386</v>
      </c>
      <c r="E23" s="79">
        <v>4705</v>
      </c>
      <c r="F23" s="79">
        <f t="shared" si="0"/>
        <v>249431</v>
      </c>
      <c r="G23" s="80"/>
      <c r="H23" s="80"/>
      <c r="I23" s="80"/>
      <c r="J23" s="80">
        <v>33600</v>
      </c>
      <c r="K23" s="80"/>
      <c r="L23" s="80">
        <v>85649</v>
      </c>
      <c r="M23" s="81">
        <v>130182</v>
      </c>
      <c r="N23" s="78"/>
      <c r="O23" s="86"/>
    </row>
    <row r="24" spans="1:15" s="40" customFormat="1" ht="12" customHeight="1">
      <c r="A24" s="87" t="s">
        <v>525</v>
      </c>
      <c r="B24" s="1094" t="s">
        <v>1339</v>
      </c>
      <c r="C24" s="1095"/>
      <c r="D24" s="117" t="s">
        <v>516</v>
      </c>
      <c r="E24" s="78">
        <v>1900</v>
      </c>
      <c r="F24" s="79">
        <f t="shared" si="0"/>
        <v>6460</v>
      </c>
      <c r="G24" s="80"/>
      <c r="H24" s="80"/>
      <c r="I24" s="80">
        <v>3480</v>
      </c>
      <c r="J24" s="80">
        <v>980</v>
      </c>
      <c r="K24" s="80"/>
      <c r="L24" s="80"/>
      <c r="M24" s="81">
        <v>2000</v>
      </c>
      <c r="N24" s="78"/>
      <c r="O24" s="86"/>
    </row>
    <row r="25" spans="1:15" s="40" customFormat="1" ht="12" customHeight="1">
      <c r="A25" s="87"/>
      <c r="B25" s="172"/>
      <c r="C25" s="173"/>
      <c r="D25" s="444" t="s">
        <v>903</v>
      </c>
      <c r="E25" s="78">
        <v>1900</v>
      </c>
      <c r="F25" s="79">
        <f t="shared" si="0"/>
        <v>6460</v>
      </c>
      <c r="G25" s="80"/>
      <c r="H25" s="80"/>
      <c r="I25" s="80">
        <v>3480</v>
      </c>
      <c r="J25" s="80">
        <v>980</v>
      </c>
      <c r="K25" s="80"/>
      <c r="L25" s="80">
        <v>2000</v>
      </c>
      <c r="M25" s="81"/>
      <c r="N25" s="78"/>
      <c r="O25" s="86"/>
    </row>
    <row r="26" spans="1:15" s="40" customFormat="1" ht="12" customHeight="1">
      <c r="A26" s="87"/>
      <c r="B26" s="172"/>
      <c r="C26" s="173"/>
      <c r="D26" s="444" t="s">
        <v>386</v>
      </c>
      <c r="E26" s="78">
        <v>734</v>
      </c>
      <c r="F26" s="79">
        <f t="shared" si="0"/>
        <v>4354</v>
      </c>
      <c r="G26" s="80"/>
      <c r="H26" s="80"/>
      <c r="I26" s="80">
        <v>1374</v>
      </c>
      <c r="J26" s="80">
        <v>980</v>
      </c>
      <c r="K26" s="80"/>
      <c r="L26" s="80">
        <v>2000</v>
      </c>
      <c r="M26" s="81"/>
      <c r="N26" s="78"/>
      <c r="O26" s="86"/>
    </row>
    <row r="27" spans="1:15" s="40" customFormat="1" ht="12" customHeight="1">
      <c r="A27" s="87" t="s">
        <v>261</v>
      </c>
      <c r="B27" s="1094" t="s">
        <v>1340</v>
      </c>
      <c r="C27" s="1095"/>
      <c r="D27" s="117" t="s">
        <v>516</v>
      </c>
      <c r="E27" s="78"/>
      <c r="F27" s="79">
        <f t="shared" si="0"/>
        <v>37100</v>
      </c>
      <c r="G27" s="80"/>
      <c r="H27" s="80"/>
      <c r="I27" s="80">
        <v>30500</v>
      </c>
      <c r="J27" s="80">
        <v>6600</v>
      </c>
      <c r="K27" s="88"/>
      <c r="L27" s="88"/>
      <c r="M27" s="81"/>
      <c r="N27" s="78"/>
      <c r="O27" s="86"/>
    </row>
    <row r="28" spans="1:15" s="40" customFormat="1" ht="12" customHeight="1">
      <c r="A28" s="87"/>
      <c r="B28" s="172"/>
      <c r="C28" s="173"/>
      <c r="D28" s="444" t="s">
        <v>903</v>
      </c>
      <c r="E28" s="78"/>
      <c r="F28" s="79">
        <f t="shared" si="0"/>
        <v>47940</v>
      </c>
      <c r="G28" s="80"/>
      <c r="H28" s="80"/>
      <c r="I28" s="80">
        <v>31115</v>
      </c>
      <c r="J28" s="80">
        <v>16825</v>
      </c>
      <c r="K28" s="88"/>
      <c r="L28" s="88"/>
      <c r="M28" s="81"/>
      <c r="N28" s="78"/>
      <c r="O28" s="86"/>
    </row>
    <row r="29" spans="1:15" s="40" customFormat="1" ht="12" customHeight="1">
      <c r="A29" s="87"/>
      <c r="B29" s="172"/>
      <c r="C29" s="173"/>
      <c r="D29" s="444" t="s">
        <v>386</v>
      </c>
      <c r="E29" s="78"/>
      <c r="F29" s="79">
        <f t="shared" si="0"/>
        <v>42640</v>
      </c>
      <c r="G29" s="80"/>
      <c r="H29" s="80"/>
      <c r="I29" s="80">
        <v>25815</v>
      </c>
      <c r="J29" s="80">
        <v>16825</v>
      </c>
      <c r="K29" s="88"/>
      <c r="L29" s="88"/>
      <c r="M29" s="81"/>
      <c r="N29" s="78"/>
      <c r="O29" s="86"/>
    </row>
    <row r="30" spans="1:15" s="40" customFormat="1" ht="12" customHeight="1">
      <c r="A30" s="87"/>
      <c r="B30" s="1094" t="s">
        <v>908</v>
      </c>
      <c r="C30" s="1069"/>
      <c r="D30" s="117" t="s">
        <v>516</v>
      </c>
      <c r="E30" s="78"/>
      <c r="F30" s="79">
        <f t="shared" si="0"/>
        <v>10000</v>
      </c>
      <c r="G30" s="80"/>
      <c r="H30" s="80"/>
      <c r="I30" s="80">
        <v>10000</v>
      </c>
      <c r="J30" s="80"/>
      <c r="K30" s="88"/>
      <c r="L30" s="88"/>
      <c r="M30" s="81"/>
      <c r="N30" s="78"/>
      <c r="O30" s="86"/>
    </row>
    <row r="31" spans="1:15" s="40" customFormat="1" ht="12" customHeight="1">
      <c r="A31" s="87"/>
      <c r="B31" s="172"/>
      <c r="C31" s="171"/>
      <c r="D31" s="444" t="s">
        <v>903</v>
      </c>
      <c r="E31" s="78"/>
      <c r="F31" s="79">
        <f t="shared" si="0"/>
        <v>12062</v>
      </c>
      <c r="G31" s="80"/>
      <c r="H31" s="80"/>
      <c r="I31" s="80">
        <v>360</v>
      </c>
      <c r="J31" s="80"/>
      <c r="K31" s="88"/>
      <c r="L31" s="422">
        <v>9839</v>
      </c>
      <c r="M31" s="81">
        <v>1863</v>
      </c>
      <c r="N31" s="78"/>
      <c r="O31" s="86"/>
    </row>
    <row r="32" spans="1:15" s="40" customFormat="1" ht="12" customHeight="1">
      <c r="A32" s="87"/>
      <c r="B32" s="172"/>
      <c r="C32" s="171"/>
      <c r="D32" s="444" t="s">
        <v>386</v>
      </c>
      <c r="E32" s="78"/>
      <c r="F32" s="79">
        <f t="shared" si="0"/>
        <v>11108</v>
      </c>
      <c r="G32" s="80"/>
      <c r="H32" s="80"/>
      <c r="I32" s="80">
        <v>185</v>
      </c>
      <c r="J32" s="80"/>
      <c r="K32" s="88"/>
      <c r="L32" s="422">
        <v>9060</v>
      </c>
      <c r="M32" s="81">
        <v>1863</v>
      </c>
      <c r="N32" s="78"/>
      <c r="O32" s="86"/>
    </row>
    <row r="33" spans="1:15" s="40" customFormat="1" ht="12" customHeight="1">
      <c r="A33" s="87" t="s">
        <v>260</v>
      </c>
      <c r="B33" s="1094" t="s">
        <v>989</v>
      </c>
      <c r="C33" s="1095"/>
      <c r="D33" s="117" t="s">
        <v>516</v>
      </c>
      <c r="E33" s="78"/>
      <c r="F33" s="79">
        <f t="shared" si="0"/>
        <v>77500</v>
      </c>
      <c r="G33" s="80"/>
      <c r="H33" s="80"/>
      <c r="I33" s="80">
        <v>21000</v>
      </c>
      <c r="J33" s="80"/>
      <c r="K33" s="80"/>
      <c r="L33" s="80"/>
      <c r="M33" s="81">
        <v>56500</v>
      </c>
      <c r="N33" s="78"/>
      <c r="O33" s="86"/>
    </row>
    <row r="34" spans="1:15" s="40" customFormat="1" ht="12" customHeight="1">
      <c r="A34" s="87"/>
      <c r="B34" s="169"/>
      <c r="C34" s="169"/>
      <c r="D34" s="444" t="s">
        <v>903</v>
      </c>
      <c r="E34" s="78"/>
      <c r="F34" s="79">
        <f>SUM(G34:O34)</f>
        <v>337280</v>
      </c>
      <c r="G34" s="80"/>
      <c r="H34" s="80"/>
      <c r="I34" s="80">
        <v>21000</v>
      </c>
      <c r="J34" s="80"/>
      <c r="K34" s="80">
        <v>2000</v>
      </c>
      <c r="L34" s="80">
        <v>23300</v>
      </c>
      <c r="M34" s="81">
        <v>290980</v>
      </c>
      <c r="N34" s="78"/>
      <c r="O34" s="86"/>
    </row>
    <row r="35" spans="1:15" s="40" customFormat="1" ht="12" customHeight="1">
      <c r="A35" s="87"/>
      <c r="B35" s="169"/>
      <c r="C35" s="169"/>
      <c r="D35" s="444" t="s">
        <v>386</v>
      </c>
      <c r="E35" s="78">
        <v>8485</v>
      </c>
      <c r="F35" s="79">
        <f>SUM(G35:O35)</f>
        <v>58649</v>
      </c>
      <c r="G35" s="80"/>
      <c r="H35" s="80"/>
      <c r="I35" s="80">
        <v>13035</v>
      </c>
      <c r="J35" s="80"/>
      <c r="K35" s="80">
        <v>2000</v>
      </c>
      <c r="L35" s="80">
        <v>7359</v>
      </c>
      <c r="M35" s="81">
        <v>36255</v>
      </c>
      <c r="N35" s="78"/>
      <c r="O35" s="86"/>
    </row>
    <row r="36" spans="1:15" s="40" customFormat="1" ht="12" customHeight="1">
      <c r="A36" s="87" t="s">
        <v>258</v>
      </c>
      <c r="B36" s="1097" t="s">
        <v>990</v>
      </c>
      <c r="C36" s="1097"/>
      <c r="D36" s="117" t="s">
        <v>516</v>
      </c>
      <c r="E36" s="78"/>
      <c r="F36" s="79">
        <f t="shared" si="0"/>
        <v>7700</v>
      </c>
      <c r="G36" s="80"/>
      <c r="H36" s="80"/>
      <c r="I36" s="80">
        <v>7700</v>
      </c>
      <c r="J36" s="80"/>
      <c r="K36" s="80"/>
      <c r="L36" s="80"/>
      <c r="M36" s="81"/>
      <c r="N36" s="78"/>
      <c r="O36" s="86"/>
    </row>
    <row r="37" spans="1:15" s="40" customFormat="1" ht="12" customHeight="1">
      <c r="A37" s="87"/>
      <c r="B37" s="169"/>
      <c r="C37" s="169"/>
      <c r="D37" s="444" t="s">
        <v>903</v>
      </c>
      <c r="E37" s="78">
        <v>1100</v>
      </c>
      <c r="F37" s="79">
        <f t="shared" si="0"/>
        <v>6450</v>
      </c>
      <c r="G37" s="80">
        <v>346</v>
      </c>
      <c r="H37" s="80">
        <v>90</v>
      </c>
      <c r="I37" s="80">
        <v>5090</v>
      </c>
      <c r="J37" s="80"/>
      <c r="K37" s="80"/>
      <c r="L37" s="80"/>
      <c r="M37" s="81">
        <v>924</v>
      </c>
      <c r="N37" s="78"/>
      <c r="O37" s="86"/>
    </row>
    <row r="38" spans="1:15" s="40" customFormat="1" ht="12" customHeight="1">
      <c r="A38" s="87"/>
      <c r="B38" s="169"/>
      <c r="C38" s="169"/>
      <c r="D38" s="444" t="s">
        <v>386</v>
      </c>
      <c r="E38" s="78">
        <v>1100</v>
      </c>
      <c r="F38" s="79">
        <f t="shared" si="0"/>
        <v>5763</v>
      </c>
      <c r="G38" s="80">
        <v>346</v>
      </c>
      <c r="H38" s="80">
        <v>90</v>
      </c>
      <c r="I38" s="80">
        <v>4986</v>
      </c>
      <c r="J38" s="80"/>
      <c r="K38" s="80"/>
      <c r="L38" s="80"/>
      <c r="M38" s="81">
        <v>341</v>
      </c>
      <c r="N38" s="78"/>
      <c r="O38" s="86"/>
    </row>
    <row r="39" spans="1:15" s="40" customFormat="1" ht="12" customHeight="1">
      <c r="A39" s="87" t="s">
        <v>259</v>
      </c>
      <c r="B39" s="1094" t="s">
        <v>1341</v>
      </c>
      <c r="C39" s="1095"/>
      <c r="D39" s="117" t="s">
        <v>516</v>
      </c>
      <c r="E39" s="78"/>
      <c r="F39" s="79">
        <f t="shared" si="0"/>
        <v>66455</v>
      </c>
      <c r="G39" s="80"/>
      <c r="H39" s="80"/>
      <c r="I39" s="80">
        <v>34455</v>
      </c>
      <c r="J39" s="80"/>
      <c r="K39" s="80"/>
      <c r="L39" s="80">
        <v>32000</v>
      </c>
      <c r="M39" s="81"/>
      <c r="N39" s="78"/>
      <c r="O39" s="86"/>
    </row>
    <row r="40" spans="1:15" s="40" customFormat="1" ht="12" customHeight="1">
      <c r="A40" s="87"/>
      <c r="B40" s="169"/>
      <c r="C40" s="173"/>
      <c r="D40" s="444" t="s">
        <v>903</v>
      </c>
      <c r="E40" s="78"/>
      <c r="F40" s="79">
        <f t="shared" si="0"/>
        <v>66007</v>
      </c>
      <c r="G40" s="80"/>
      <c r="H40" s="80"/>
      <c r="I40" s="80">
        <v>34455</v>
      </c>
      <c r="J40" s="80"/>
      <c r="K40" s="80"/>
      <c r="L40" s="80">
        <v>31185</v>
      </c>
      <c r="M40" s="81">
        <v>367</v>
      </c>
      <c r="N40" s="78"/>
      <c r="O40" s="86"/>
    </row>
    <row r="41" spans="1:15" s="40" customFormat="1" ht="12" customHeight="1">
      <c r="A41" s="87"/>
      <c r="B41" s="169"/>
      <c r="C41" s="173"/>
      <c r="D41" s="444" t="s">
        <v>386</v>
      </c>
      <c r="E41" s="78">
        <v>183</v>
      </c>
      <c r="F41" s="79">
        <f t="shared" si="0"/>
        <v>49250</v>
      </c>
      <c r="G41" s="80"/>
      <c r="H41" s="80"/>
      <c r="I41" s="80">
        <v>39047</v>
      </c>
      <c r="J41" s="80"/>
      <c r="K41" s="80"/>
      <c r="L41" s="80">
        <v>9836</v>
      </c>
      <c r="M41" s="81">
        <v>367</v>
      </c>
      <c r="N41" s="78"/>
      <c r="O41" s="86"/>
    </row>
    <row r="42" spans="1:15" s="40" customFormat="1" ht="12" customHeight="1">
      <c r="A42" s="87"/>
      <c r="B42" s="1135" t="s">
        <v>183</v>
      </c>
      <c r="C42" s="1136"/>
      <c r="D42" s="117" t="s">
        <v>516</v>
      </c>
      <c r="E42" s="78"/>
      <c r="F42" s="79">
        <f t="shared" si="0"/>
        <v>139400</v>
      </c>
      <c r="G42" s="80"/>
      <c r="H42" s="80"/>
      <c r="I42" s="80"/>
      <c r="J42" s="80">
        <v>139400</v>
      </c>
      <c r="K42" s="80"/>
      <c r="L42" s="80"/>
      <c r="M42" s="81"/>
      <c r="N42" s="78"/>
      <c r="O42" s="86"/>
    </row>
    <row r="43" spans="1:15" s="40" customFormat="1" ht="12" customHeight="1">
      <c r="A43" s="87"/>
      <c r="B43" s="175"/>
      <c r="C43" s="176"/>
      <c r="D43" s="444" t="s">
        <v>903</v>
      </c>
      <c r="E43" s="79"/>
      <c r="F43" s="79">
        <f t="shared" si="0"/>
        <v>130476</v>
      </c>
      <c r="G43" s="80"/>
      <c r="H43" s="80"/>
      <c r="I43" s="80">
        <v>14000</v>
      </c>
      <c r="J43" s="80">
        <v>116476</v>
      </c>
      <c r="K43" s="80"/>
      <c r="L43" s="80"/>
      <c r="M43" s="81"/>
      <c r="N43" s="79"/>
      <c r="O43" s="82"/>
    </row>
    <row r="44" spans="1:15" s="40" customFormat="1" ht="12" customHeight="1">
      <c r="A44" s="87"/>
      <c r="B44" s="175"/>
      <c r="C44" s="176"/>
      <c r="D44" s="444" t="s">
        <v>386</v>
      </c>
      <c r="E44" s="79"/>
      <c r="F44" s="79">
        <f t="shared" si="0"/>
        <v>71307</v>
      </c>
      <c r="G44" s="80"/>
      <c r="H44" s="80"/>
      <c r="I44" s="80">
        <v>3877</v>
      </c>
      <c r="J44" s="80">
        <v>67430</v>
      </c>
      <c r="K44" s="80"/>
      <c r="L44" s="80"/>
      <c r="M44" s="81"/>
      <c r="N44" s="79"/>
      <c r="O44" s="82"/>
    </row>
    <row r="45" spans="1:15" s="40" customFormat="1" ht="12" customHeight="1">
      <c r="A45" s="87" t="s">
        <v>258</v>
      </c>
      <c r="B45" s="1094" t="s">
        <v>526</v>
      </c>
      <c r="C45" s="1095"/>
      <c r="D45" s="117" t="s">
        <v>516</v>
      </c>
      <c r="E45" s="79">
        <v>376238</v>
      </c>
      <c r="F45" s="79">
        <f t="shared" si="0"/>
        <v>779148</v>
      </c>
      <c r="G45" s="80">
        <v>414270</v>
      </c>
      <c r="H45" s="80">
        <v>122896</v>
      </c>
      <c r="I45" s="80">
        <v>181532</v>
      </c>
      <c r="J45" s="80">
        <v>8450</v>
      </c>
      <c r="K45" s="80"/>
      <c r="L45" s="80">
        <v>5000</v>
      </c>
      <c r="M45" s="81">
        <v>47000</v>
      </c>
      <c r="N45" s="79"/>
      <c r="O45" s="82"/>
    </row>
    <row r="46" spans="1:15" s="40" customFormat="1" ht="12" customHeight="1">
      <c r="A46" s="83"/>
      <c r="B46" s="172"/>
      <c r="C46" s="173"/>
      <c r="D46" s="444" t="s">
        <v>903</v>
      </c>
      <c r="E46" s="79">
        <v>411188</v>
      </c>
      <c r="F46" s="79">
        <f t="shared" si="0"/>
        <v>952347</v>
      </c>
      <c r="G46" s="80">
        <v>444086</v>
      </c>
      <c r="H46" s="80">
        <v>129610</v>
      </c>
      <c r="I46" s="80">
        <v>297585</v>
      </c>
      <c r="J46" s="80">
        <v>13893</v>
      </c>
      <c r="K46" s="80"/>
      <c r="L46" s="80">
        <v>5493</v>
      </c>
      <c r="M46" s="81">
        <v>61680</v>
      </c>
      <c r="N46" s="79"/>
      <c r="O46" s="82"/>
    </row>
    <row r="47" spans="1:15" s="40" customFormat="1" ht="12" customHeight="1">
      <c r="A47" s="83"/>
      <c r="B47" s="172"/>
      <c r="C47" s="173"/>
      <c r="D47" s="444" t="s">
        <v>386</v>
      </c>
      <c r="E47" s="79">
        <v>336372</v>
      </c>
      <c r="F47" s="79">
        <f t="shared" si="0"/>
        <v>901209</v>
      </c>
      <c r="G47" s="80">
        <v>422543</v>
      </c>
      <c r="H47" s="80">
        <v>125044</v>
      </c>
      <c r="I47" s="80">
        <v>292930</v>
      </c>
      <c r="J47" s="80">
        <v>13986</v>
      </c>
      <c r="K47" s="80">
        <v>60</v>
      </c>
      <c r="L47" s="80">
        <v>5493</v>
      </c>
      <c r="M47" s="81">
        <v>41153</v>
      </c>
      <c r="N47" s="79"/>
      <c r="O47" s="82"/>
    </row>
    <row r="48" spans="1:15" s="40" customFormat="1" ht="12" customHeight="1">
      <c r="A48" s="83"/>
      <c r="B48" s="1094" t="s">
        <v>1003</v>
      </c>
      <c r="C48" s="1095"/>
      <c r="D48" s="117" t="s">
        <v>516</v>
      </c>
      <c r="E48" s="79">
        <v>11000</v>
      </c>
      <c r="F48" s="79">
        <f t="shared" si="0"/>
        <v>9500</v>
      </c>
      <c r="G48" s="80"/>
      <c r="H48" s="80"/>
      <c r="I48" s="80"/>
      <c r="J48" s="80">
        <v>1000</v>
      </c>
      <c r="K48" s="80"/>
      <c r="L48" s="80"/>
      <c r="M48" s="81"/>
      <c r="N48" s="79">
        <v>8500</v>
      </c>
      <c r="O48" s="82"/>
    </row>
    <row r="49" spans="1:15" s="40" customFormat="1" ht="12" customHeight="1">
      <c r="A49" s="83"/>
      <c r="B49" s="172"/>
      <c r="C49" s="173"/>
      <c r="D49" s="444" t="s">
        <v>903</v>
      </c>
      <c r="E49" s="79">
        <v>11000</v>
      </c>
      <c r="F49" s="79">
        <f t="shared" si="0"/>
        <v>9500</v>
      </c>
      <c r="G49" s="80"/>
      <c r="H49" s="80"/>
      <c r="I49" s="80"/>
      <c r="J49" s="80">
        <v>1000</v>
      </c>
      <c r="K49" s="80"/>
      <c r="L49" s="80"/>
      <c r="M49" s="81"/>
      <c r="N49" s="79">
        <v>8500</v>
      </c>
      <c r="O49" s="82"/>
    </row>
    <row r="50" spans="1:15" s="40" customFormat="1" ht="12" customHeight="1">
      <c r="A50" s="83"/>
      <c r="B50" s="172"/>
      <c r="C50" s="173"/>
      <c r="D50" s="444" t="s">
        <v>386</v>
      </c>
      <c r="E50" s="79">
        <v>9034</v>
      </c>
      <c r="F50" s="79">
        <f t="shared" si="0"/>
        <v>4050</v>
      </c>
      <c r="G50" s="80"/>
      <c r="H50" s="80"/>
      <c r="I50" s="80"/>
      <c r="J50" s="80">
        <v>400</v>
      </c>
      <c r="K50" s="80"/>
      <c r="L50" s="80"/>
      <c r="M50" s="81"/>
      <c r="N50" s="79">
        <v>3650</v>
      </c>
      <c r="O50" s="82"/>
    </row>
    <row r="51" spans="1:15" s="40" customFormat="1" ht="12" customHeight="1">
      <c r="A51" s="87" t="s">
        <v>258</v>
      </c>
      <c r="B51" s="1094" t="s">
        <v>993</v>
      </c>
      <c r="C51" s="1069"/>
      <c r="D51" s="117" t="s">
        <v>516</v>
      </c>
      <c r="E51" s="78"/>
      <c r="F51" s="79">
        <f t="shared" si="0"/>
        <v>9000</v>
      </c>
      <c r="G51" s="80">
        <v>700</v>
      </c>
      <c r="H51" s="80">
        <v>300</v>
      </c>
      <c r="I51" s="80">
        <v>8000</v>
      </c>
      <c r="J51" s="80"/>
      <c r="K51" s="80"/>
      <c r="L51" s="80"/>
      <c r="M51" s="81"/>
      <c r="N51" s="79"/>
      <c r="O51" s="82"/>
    </row>
    <row r="52" spans="1:15" s="40" customFormat="1" ht="12" customHeight="1">
      <c r="A52" s="87"/>
      <c r="B52" s="172"/>
      <c r="C52" s="171"/>
      <c r="D52" s="444" t="s">
        <v>903</v>
      </c>
      <c r="E52" s="79">
        <v>1425</v>
      </c>
      <c r="F52" s="79">
        <f t="shared" si="0"/>
        <v>10425</v>
      </c>
      <c r="G52" s="80">
        <v>700</v>
      </c>
      <c r="H52" s="80">
        <v>300</v>
      </c>
      <c r="I52" s="80">
        <v>9425</v>
      </c>
      <c r="J52" s="80"/>
      <c r="K52" s="80"/>
      <c r="L52" s="80"/>
      <c r="M52" s="81"/>
      <c r="N52" s="79"/>
      <c r="O52" s="82"/>
    </row>
    <row r="53" spans="1:15" s="40" customFormat="1" ht="12" customHeight="1">
      <c r="A53" s="87"/>
      <c r="B53" s="172"/>
      <c r="C53" s="171"/>
      <c r="D53" s="444" t="s">
        <v>386</v>
      </c>
      <c r="E53" s="79">
        <v>1766</v>
      </c>
      <c r="F53" s="79">
        <f t="shared" si="0"/>
        <v>11810</v>
      </c>
      <c r="G53" s="80">
        <v>285</v>
      </c>
      <c r="H53" s="80">
        <v>30</v>
      </c>
      <c r="I53" s="80">
        <v>11495</v>
      </c>
      <c r="J53" s="80"/>
      <c r="K53" s="80"/>
      <c r="L53" s="80"/>
      <c r="M53" s="81"/>
      <c r="N53" s="79"/>
      <c r="O53" s="82"/>
    </row>
    <row r="54" spans="1:15" s="40" customFormat="1" ht="12" customHeight="1">
      <c r="A54" s="87" t="s">
        <v>258</v>
      </c>
      <c r="B54" s="1094" t="s">
        <v>1008</v>
      </c>
      <c r="C54" s="1069"/>
      <c r="D54" s="117" t="s">
        <v>516</v>
      </c>
      <c r="E54" s="79"/>
      <c r="F54" s="79">
        <f t="shared" si="0"/>
        <v>8000</v>
      </c>
      <c r="G54" s="80"/>
      <c r="H54" s="80"/>
      <c r="I54" s="80"/>
      <c r="J54" s="80"/>
      <c r="K54" s="80"/>
      <c r="L54" s="80"/>
      <c r="M54" s="81"/>
      <c r="N54" s="79"/>
      <c r="O54" s="82">
        <v>8000</v>
      </c>
    </row>
    <row r="55" spans="1:15" s="40" customFormat="1" ht="12" customHeight="1">
      <c r="A55" s="83"/>
      <c r="B55" s="172"/>
      <c r="C55" s="171"/>
      <c r="D55" s="444" t="s">
        <v>903</v>
      </c>
      <c r="E55" s="79"/>
      <c r="F55" s="79">
        <f t="shared" si="0"/>
        <v>20000</v>
      </c>
      <c r="G55" s="80"/>
      <c r="H55" s="80"/>
      <c r="I55" s="80"/>
      <c r="J55" s="80"/>
      <c r="K55" s="80"/>
      <c r="L55" s="80"/>
      <c r="M55" s="81"/>
      <c r="N55" s="79"/>
      <c r="O55" s="82">
        <v>20000</v>
      </c>
    </row>
    <row r="56" spans="1:15" s="40" customFormat="1" ht="12" customHeight="1">
      <c r="A56" s="83"/>
      <c r="B56" s="172"/>
      <c r="C56" s="171"/>
      <c r="D56" s="444" t="s">
        <v>386</v>
      </c>
      <c r="E56" s="79"/>
      <c r="F56" s="79">
        <f t="shared" si="0"/>
        <v>0</v>
      </c>
      <c r="G56" s="80"/>
      <c r="H56" s="80"/>
      <c r="I56" s="80"/>
      <c r="J56" s="80"/>
      <c r="K56" s="80"/>
      <c r="L56" s="80"/>
      <c r="M56" s="81"/>
      <c r="N56" s="79"/>
      <c r="O56" s="82"/>
    </row>
    <row r="57" spans="1:15" s="40" customFormat="1" ht="12" customHeight="1">
      <c r="A57" s="83" t="s">
        <v>258</v>
      </c>
      <c r="B57" s="1094" t="s">
        <v>535</v>
      </c>
      <c r="C57" s="1069"/>
      <c r="D57" s="117" t="s">
        <v>516</v>
      </c>
      <c r="E57" s="79"/>
      <c r="F57" s="79">
        <f t="shared" si="0"/>
        <v>100000</v>
      </c>
      <c r="G57" s="80"/>
      <c r="H57" s="80"/>
      <c r="I57" s="80"/>
      <c r="J57" s="80"/>
      <c r="K57" s="80"/>
      <c r="L57" s="80"/>
      <c r="M57" s="81"/>
      <c r="N57" s="79"/>
      <c r="O57" s="82">
        <v>100000</v>
      </c>
    </row>
    <row r="58" spans="1:15" s="40" customFormat="1" ht="12" customHeight="1">
      <c r="A58" s="83"/>
      <c r="B58" s="172"/>
      <c r="C58" s="171"/>
      <c r="D58" s="444" t="s">
        <v>903</v>
      </c>
      <c r="E58" s="79"/>
      <c r="F58" s="79">
        <f t="shared" si="0"/>
        <v>35743</v>
      </c>
      <c r="G58" s="80"/>
      <c r="H58" s="80"/>
      <c r="I58" s="80"/>
      <c r="J58" s="80"/>
      <c r="K58" s="80"/>
      <c r="L58" s="80"/>
      <c r="M58" s="81"/>
      <c r="N58" s="79"/>
      <c r="O58" s="82">
        <v>35743</v>
      </c>
    </row>
    <row r="59" spans="1:15" s="40" customFormat="1" ht="12" customHeight="1">
      <c r="A59" s="83"/>
      <c r="B59" s="172"/>
      <c r="C59" s="171"/>
      <c r="D59" s="444" t="s">
        <v>386</v>
      </c>
      <c r="E59" s="79"/>
      <c r="F59" s="79">
        <f t="shared" si="0"/>
        <v>0</v>
      </c>
      <c r="G59" s="80"/>
      <c r="H59" s="80"/>
      <c r="I59" s="80"/>
      <c r="J59" s="80"/>
      <c r="K59" s="80"/>
      <c r="L59" s="80"/>
      <c r="M59" s="81"/>
      <c r="N59" s="79"/>
      <c r="O59" s="82"/>
    </row>
    <row r="60" spans="1:15" s="40" customFormat="1" ht="12" customHeight="1">
      <c r="A60" s="83" t="s">
        <v>258</v>
      </c>
      <c r="B60" s="1094" t="s">
        <v>213</v>
      </c>
      <c r="C60" s="1069"/>
      <c r="D60" s="117" t="s">
        <v>516</v>
      </c>
      <c r="E60" s="78"/>
      <c r="F60" s="79">
        <f t="shared" si="0"/>
        <v>151004</v>
      </c>
      <c r="G60" s="89"/>
      <c r="H60" s="89"/>
      <c r="I60" s="89">
        <v>133031</v>
      </c>
      <c r="J60" s="89"/>
      <c r="K60" s="89"/>
      <c r="L60" s="89"/>
      <c r="M60" s="90"/>
      <c r="N60" s="78">
        <v>17973</v>
      </c>
      <c r="O60" s="86"/>
    </row>
    <row r="61" spans="1:15" s="40" customFormat="1" ht="12" customHeight="1">
      <c r="A61" s="264"/>
      <c r="B61" s="512"/>
      <c r="C61" s="265"/>
      <c r="D61" s="480" t="s">
        <v>903</v>
      </c>
      <c r="E61" s="84"/>
      <c r="F61" s="84">
        <f>SUM(G61:O61)</f>
        <v>105830</v>
      </c>
      <c r="G61" s="84"/>
      <c r="H61" s="110"/>
      <c r="I61" s="110">
        <v>87857</v>
      </c>
      <c r="J61" s="110">
        <v>3361</v>
      </c>
      <c r="K61" s="110"/>
      <c r="L61" s="84"/>
      <c r="M61" s="110"/>
      <c r="N61" s="84">
        <v>14612</v>
      </c>
      <c r="O61" s="111"/>
    </row>
    <row r="62" spans="1:15" s="40" customFormat="1" ht="12" customHeight="1" thickBot="1">
      <c r="A62" s="134"/>
      <c r="B62" s="513"/>
      <c r="C62" s="514"/>
      <c r="D62" s="796" t="s">
        <v>386</v>
      </c>
      <c r="E62" s="135"/>
      <c r="F62" s="135">
        <f>SUM(G62:O62)</f>
        <v>89577</v>
      </c>
      <c r="G62" s="135"/>
      <c r="H62" s="135"/>
      <c r="I62" s="135">
        <v>71448</v>
      </c>
      <c r="J62" s="135">
        <v>3830</v>
      </c>
      <c r="K62" s="135"/>
      <c r="L62" s="135"/>
      <c r="M62" s="135"/>
      <c r="N62" s="135">
        <v>14299</v>
      </c>
      <c r="O62" s="136"/>
    </row>
    <row r="63" spans="1:15" s="40" customFormat="1" ht="11.25" customHeight="1" thickTop="1">
      <c r="A63" s="1113" t="s">
        <v>1334</v>
      </c>
      <c r="B63" s="1114"/>
      <c r="C63" s="1114"/>
      <c r="D63" s="1115"/>
      <c r="E63" s="1128" t="s">
        <v>226</v>
      </c>
      <c r="F63" s="1131" t="s">
        <v>1335</v>
      </c>
      <c r="G63" s="73" t="s">
        <v>1336</v>
      </c>
      <c r="H63" s="74"/>
      <c r="I63" s="74"/>
      <c r="J63" s="75"/>
      <c r="K63" s="75"/>
      <c r="L63" s="73" t="s">
        <v>511</v>
      </c>
      <c r="M63" s="74"/>
      <c r="N63" s="1089" t="s">
        <v>757</v>
      </c>
      <c r="O63" s="1030" t="s">
        <v>1315</v>
      </c>
    </row>
    <row r="64" spans="1:15" s="40" customFormat="1" ht="11.25" customHeight="1">
      <c r="A64" s="1116"/>
      <c r="B64" s="1117"/>
      <c r="C64" s="1117"/>
      <c r="D64" s="1118"/>
      <c r="E64" s="1129"/>
      <c r="F64" s="1132"/>
      <c r="G64" s="1096" t="s">
        <v>752</v>
      </c>
      <c r="H64" s="1096" t="s">
        <v>753</v>
      </c>
      <c r="I64" s="1096" t="s">
        <v>754</v>
      </c>
      <c r="J64" s="1096" t="s">
        <v>755</v>
      </c>
      <c r="K64" s="1096" t="s">
        <v>756</v>
      </c>
      <c r="L64" s="1033" t="s">
        <v>1330</v>
      </c>
      <c r="M64" s="1033" t="s">
        <v>1311</v>
      </c>
      <c r="N64" s="1090"/>
      <c r="O64" s="1031"/>
    </row>
    <row r="65" spans="1:15" s="40" customFormat="1" ht="38.25" customHeight="1" thickBot="1">
      <c r="A65" s="1119"/>
      <c r="B65" s="1120"/>
      <c r="C65" s="1120"/>
      <c r="D65" s="1121"/>
      <c r="E65" s="1130"/>
      <c r="F65" s="1133"/>
      <c r="G65" s="1091"/>
      <c r="H65" s="1091"/>
      <c r="I65" s="1091"/>
      <c r="J65" s="1091"/>
      <c r="K65" s="1091"/>
      <c r="L65" s="1034"/>
      <c r="M65" s="1034"/>
      <c r="N65" s="1091"/>
      <c r="O65" s="1032"/>
    </row>
    <row r="66" spans="1:15" s="40" customFormat="1" ht="12" customHeight="1" thickTop="1">
      <c r="A66" s="96">
        <v>751153</v>
      </c>
      <c r="B66" s="1097" t="s">
        <v>994</v>
      </c>
      <c r="C66" s="1097"/>
      <c r="D66" s="117" t="s">
        <v>516</v>
      </c>
      <c r="E66" s="78"/>
      <c r="F66" s="78">
        <f aca="true" t="shared" si="1" ref="F66:F71">SUM(G66:O66)</f>
        <v>53601</v>
      </c>
      <c r="G66" s="80"/>
      <c r="H66" s="80"/>
      <c r="I66" s="80">
        <v>53601</v>
      </c>
      <c r="J66" s="80"/>
      <c r="K66" s="80"/>
      <c r="L66" s="80"/>
      <c r="M66" s="81"/>
      <c r="N66" s="78"/>
      <c r="O66" s="86"/>
    </row>
    <row r="67" spans="1:15" s="40" customFormat="1" ht="12" customHeight="1">
      <c r="A67" s="96"/>
      <c r="B67" s="169"/>
      <c r="C67" s="169"/>
      <c r="D67" s="444" t="s">
        <v>903</v>
      </c>
      <c r="E67" s="78"/>
      <c r="F67" s="78">
        <f t="shared" si="1"/>
        <v>53601</v>
      </c>
      <c r="G67" s="80"/>
      <c r="H67" s="80"/>
      <c r="I67" s="80">
        <v>53601</v>
      </c>
      <c r="J67" s="80"/>
      <c r="K67" s="80"/>
      <c r="L67" s="80"/>
      <c r="M67" s="81"/>
      <c r="N67" s="78"/>
      <c r="O67" s="86"/>
    </row>
    <row r="68" spans="1:15" s="40" customFormat="1" ht="12" customHeight="1">
      <c r="A68" s="96"/>
      <c r="B68" s="169"/>
      <c r="C68" s="169"/>
      <c r="D68" s="444" t="s">
        <v>386</v>
      </c>
      <c r="E68" s="78"/>
      <c r="F68" s="78">
        <f t="shared" si="1"/>
        <v>45157</v>
      </c>
      <c r="G68" s="80"/>
      <c r="H68" s="80"/>
      <c r="I68" s="80">
        <v>45157</v>
      </c>
      <c r="J68" s="80"/>
      <c r="K68" s="80"/>
      <c r="L68" s="80"/>
      <c r="M68" s="81"/>
      <c r="N68" s="78"/>
      <c r="O68" s="86"/>
    </row>
    <row r="69" spans="1:15" s="40" customFormat="1" ht="12" customHeight="1">
      <c r="A69" s="96">
        <v>751153</v>
      </c>
      <c r="B69" s="169" t="s">
        <v>1103</v>
      </c>
      <c r="C69" s="169"/>
      <c r="D69" s="117" t="s">
        <v>516</v>
      </c>
      <c r="E69" s="78"/>
      <c r="F69" s="78">
        <f t="shared" si="1"/>
        <v>0</v>
      </c>
      <c r="G69" s="80"/>
      <c r="H69" s="80"/>
      <c r="I69" s="80"/>
      <c r="J69" s="80"/>
      <c r="K69" s="80"/>
      <c r="L69" s="80"/>
      <c r="M69" s="81"/>
      <c r="N69" s="78"/>
      <c r="O69" s="86"/>
    </row>
    <row r="70" spans="1:15" s="40" customFormat="1" ht="12" customHeight="1">
      <c r="A70" s="96"/>
      <c r="B70" s="169"/>
      <c r="C70" s="169"/>
      <c r="D70" s="444" t="s">
        <v>903</v>
      </c>
      <c r="E70" s="78"/>
      <c r="F70" s="78">
        <f t="shared" si="1"/>
        <v>12675</v>
      </c>
      <c r="G70" s="80"/>
      <c r="H70" s="80"/>
      <c r="I70" s="80">
        <v>12675</v>
      </c>
      <c r="J70" s="80"/>
      <c r="K70" s="80"/>
      <c r="L70" s="80"/>
      <c r="M70" s="81"/>
      <c r="N70" s="78"/>
      <c r="O70" s="86"/>
    </row>
    <row r="71" spans="1:15" s="40" customFormat="1" ht="12" customHeight="1">
      <c r="A71" s="96"/>
      <c r="B71" s="169"/>
      <c r="C71" s="169"/>
      <c r="D71" s="444" t="s">
        <v>386</v>
      </c>
      <c r="E71" s="78"/>
      <c r="F71" s="78">
        <f t="shared" si="1"/>
        <v>12764</v>
      </c>
      <c r="G71" s="80"/>
      <c r="H71" s="80"/>
      <c r="I71" s="80">
        <v>12764</v>
      </c>
      <c r="J71" s="80"/>
      <c r="K71" s="80"/>
      <c r="L71" s="80"/>
      <c r="M71" s="81"/>
      <c r="N71" s="78"/>
      <c r="O71" s="86"/>
    </row>
    <row r="72" spans="1:15" s="40" customFormat="1" ht="12" customHeight="1">
      <c r="A72" s="96">
        <v>751175</v>
      </c>
      <c r="B72" s="1094" t="s">
        <v>54</v>
      </c>
      <c r="C72" s="1095"/>
      <c r="D72" s="117" t="s">
        <v>516</v>
      </c>
      <c r="E72" s="78"/>
      <c r="F72" s="78">
        <f aca="true" t="shared" si="2" ref="F72:F135">SUM(G72:O72)</f>
        <v>0</v>
      </c>
      <c r="G72" s="80"/>
      <c r="H72" s="80"/>
      <c r="I72" s="80"/>
      <c r="J72" s="80"/>
      <c r="K72" s="80"/>
      <c r="L72" s="80"/>
      <c r="M72" s="81"/>
      <c r="N72" s="78"/>
      <c r="O72" s="86"/>
    </row>
    <row r="73" spans="1:15" s="40" customFormat="1" ht="12" customHeight="1">
      <c r="A73" s="96"/>
      <c r="B73" s="169"/>
      <c r="C73" s="169"/>
      <c r="D73" s="444" t="s">
        <v>903</v>
      </c>
      <c r="E73" s="78">
        <v>4744</v>
      </c>
      <c r="F73" s="78">
        <f t="shared" si="2"/>
        <v>4744</v>
      </c>
      <c r="G73" s="80">
        <v>2598</v>
      </c>
      <c r="H73" s="80">
        <v>704</v>
      </c>
      <c r="I73" s="80">
        <v>1427</v>
      </c>
      <c r="J73" s="80">
        <v>15</v>
      </c>
      <c r="K73" s="80"/>
      <c r="L73" s="80"/>
      <c r="M73" s="81"/>
      <c r="N73" s="78"/>
      <c r="O73" s="86"/>
    </row>
    <row r="74" spans="1:15" s="40" customFormat="1" ht="12" customHeight="1">
      <c r="A74" s="96"/>
      <c r="B74" s="169"/>
      <c r="C74" s="169"/>
      <c r="D74" s="444" t="s">
        <v>386</v>
      </c>
      <c r="E74" s="78">
        <v>4744</v>
      </c>
      <c r="F74" s="78">
        <f t="shared" si="2"/>
        <v>4744</v>
      </c>
      <c r="G74" s="80">
        <v>2598</v>
      </c>
      <c r="H74" s="80">
        <v>704</v>
      </c>
      <c r="I74" s="80">
        <v>1427</v>
      </c>
      <c r="J74" s="80">
        <v>15</v>
      </c>
      <c r="K74" s="80"/>
      <c r="L74" s="80"/>
      <c r="M74" s="81"/>
      <c r="N74" s="78"/>
      <c r="O74" s="86"/>
    </row>
    <row r="75" spans="1:15" s="40" customFormat="1" ht="12" customHeight="1">
      <c r="A75" s="96">
        <v>751199</v>
      </c>
      <c r="B75" s="1094" t="s">
        <v>1191</v>
      </c>
      <c r="C75" s="1095"/>
      <c r="D75" s="117" t="s">
        <v>516</v>
      </c>
      <c r="E75" s="78"/>
      <c r="F75" s="78">
        <f t="shared" si="2"/>
        <v>0</v>
      </c>
      <c r="G75" s="80"/>
      <c r="H75" s="80"/>
      <c r="I75" s="80"/>
      <c r="J75" s="80"/>
      <c r="K75" s="80"/>
      <c r="L75" s="80"/>
      <c r="M75" s="81"/>
      <c r="N75" s="78"/>
      <c r="O75" s="86"/>
    </row>
    <row r="76" spans="1:15" s="40" customFormat="1" ht="12" customHeight="1">
      <c r="A76" s="96"/>
      <c r="B76" s="169"/>
      <c r="C76" s="169"/>
      <c r="D76" s="444" t="s">
        <v>903</v>
      </c>
      <c r="E76" s="78"/>
      <c r="F76" s="78">
        <f t="shared" si="2"/>
        <v>0</v>
      </c>
      <c r="G76" s="80"/>
      <c r="H76" s="80"/>
      <c r="I76" s="80"/>
      <c r="J76" s="80"/>
      <c r="K76" s="80"/>
      <c r="L76" s="80"/>
      <c r="M76" s="81"/>
      <c r="N76" s="78"/>
      <c r="O76" s="86"/>
    </row>
    <row r="77" spans="1:15" s="40" customFormat="1" ht="12" customHeight="1">
      <c r="A77" s="96"/>
      <c r="B77" s="169"/>
      <c r="C77" s="169"/>
      <c r="D77" s="444" t="s">
        <v>386</v>
      </c>
      <c r="E77" s="78">
        <v>729569</v>
      </c>
      <c r="F77" s="78">
        <f t="shared" si="2"/>
        <v>0</v>
      </c>
      <c r="G77" s="80"/>
      <c r="H77" s="80"/>
      <c r="I77" s="80"/>
      <c r="J77" s="80"/>
      <c r="K77" s="80"/>
      <c r="L77" s="80"/>
      <c r="M77" s="81"/>
      <c r="N77" s="78"/>
      <c r="O77" s="86"/>
    </row>
    <row r="78" spans="1:15" s="40" customFormat="1" ht="12" customHeight="1">
      <c r="A78" s="87" t="s">
        <v>241</v>
      </c>
      <c r="B78" s="1097" t="s">
        <v>220</v>
      </c>
      <c r="C78" s="1104"/>
      <c r="D78" s="117" t="s">
        <v>516</v>
      </c>
      <c r="E78" s="78"/>
      <c r="F78" s="78">
        <f t="shared" si="2"/>
        <v>1350</v>
      </c>
      <c r="G78" s="80"/>
      <c r="H78" s="80"/>
      <c r="I78" s="80"/>
      <c r="J78" s="80">
        <v>1350</v>
      </c>
      <c r="K78" s="80"/>
      <c r="L78" s="80"/>
      <c r="M78" s="81"/>
      <c r="N78" s="78"/>
      <c r="O78" s="86"/>
    </row>
    <row r="79" spans="1:15" s="40" customFormat="1" ht="12" customHeight="1">
      <c r="A79" s="87"/>
      <c r="B79" s="169"/>
      <c r="C79" s="174"/>
      <c r="D79" s="444" t="s">
        <v>903</v>
      </c>
      <c r="E79" s="78"/>
      <c r="F79" s="78">
        <f t="shared" si="2"/>
        <v>3450</v>
      </c>
      <c r="G79" s="80"/>
      <c r="H79" s="80"/>
      <c r="I79" s="80"/>
      <c r="J79" s="80">
        <v>3450</v>
      </c>
      <c r="K79" s="80"/>
      <c r="L79" s="80"/>
      <c r="M79" s="81"/>
      <c r="N79" s="78"/>
      <c r="O79" s="86"/>
    </row>
    <row r="80" spans="1:15" s="40" customFormat="1" ht="12" customHeight="1">
      <c r="A80" s="87"/>
      <c r="B80" s="169"/>
      <c r="C80" s="174"/>
      <c r="D80" s="444" t="s">
        <v>386</v>
      </c>
      <c r="E80" s="78"/>
      <c r="F80" s="78">
        <f t="shared" si="2"/>
        <v>2450</v>
      </c>
      <c r="G80" s="80"/>
      <c r="H80" s="80"/>
      <c r="I80" s="80"/>
      <c r="J80" s="80">
        <v>2450</v>
      </c>
      <c r="K80" s="80"/>
      <c r="L80" s="80"/>
      <c r="M80" s="81"/>
      <c r="N80" s="78"/>
      <c r="O80" s="86"/>
    </row>
    <row r="81" spans="1:15" s="40" customFormat="1" ht="12" customHeight="1">
      <c r="A81" s="87" t="s">
        <v>242</v>
      </c>
      <c r="B81" s="1094" t="s">
        <v>1343</v>
      </c>
      <c r="C81" s="1095"/>
      <c r="D81" s="117" t="s">
        <v>516</v>
      </c>
      <c r="E81" s="78"/>
      <c r="F81" s="78">
        <f t="shared" si="2"/>
        <v>250</v>
      </c>
      <c r="G81" s="80"/>
      <c r="H81" s="80"/>
      <c r="I81" s="80">
        <v>250</v>
      </c>
      <c r="J81" s="80"/>
      <c r="K81" s="80"/>
      <c r="L81" s="80"/>
      <c r="M81" s="81"/>
      <c r="N81" s="78"/>
      <c r="O81" s="86"/>
    </row>
    <row r="82" spans="1:15" s="40" customFormat="1" ht="12" customHeight="1">
      <c r="A82" s="87"/>
      <c r="B82" s="172"/>
      <c r="C82" s="173"/>
      <c r="D82" s="444" t="s">
        <v>903</v>
      </c>
      <c r="E82" s="78">
        <v>1548</v>
      </c>
      <c r="F82" s="78">
        <f t="shared" si="2"/>
        <v>1798</v>
      </c>
      <c r="G82" s="80"/>
      <c r="H82" s="80"/>
      <c r="I82" s="80">
        <v>1798</v>
      </c>
      <c r="J82" s="80"/>
      <c r="K82" s="80"/>
      <c r="L82" s="80"/>
      <c r="M82" s="81"/>
      <c r="N82" s="78"/>
      <c r="O82" s="86"/>
    </row>
    <row r="83" spans="1:15" s="40" customFormat="1" ht="12" customHeight="1">
      <c r="A83" s="87"/>
      <c r="B83" s="172"/>
      <c r="C83" s="173"/>
      <c r="D83" s="444" t="s">
        <v>386</v>
      </c>
      <c r="E83" s="78">
        <v>1548</v>
      </c>
      <c r="F83" s="78">
        <f t="shared" si="2"/>
        <v>1601</v>
      </c>
      <c r="G83" s="80"/>
      <c r="H83" s="80"/>
      <c r="I83" s="80">
        <v>1601</v>
      </c>
      <c r="J83" s="80"/>
      <c r="K83" s="80"/>
      <c r="L83" s="80"/>
      <c r="M83" s="81"/>
      <c r="N83" s="78"/>
      <c r="O83" s="86"/>
    </row>
    <row r="84" spans="1:15" s="40" customFormat="1" ht="12" customHeight="1">
      <c r="A84" s="87" t="s">
        <v>243</v>
      </c>
      <c r="B84" s="1094" t="s">
        <v>1342</v>
      </c>
      <c r="C84" s="1095"/>
      <c r="D84" s="117" t="s">
        <v>516</v>
      </c>
      <c r="E84" s="78">
        <v>15000</v>
      </c>
      <c r="F84" s="78">
        <f t="shared" si="2"/>
        <v>43200</v>
      </c>
      <c r="G84" s="80">
        <v>30870</v>
      </c>
      <c r="H84" s="80">
        <v>10698</v>
      </c>
      <c r="I84" s="80">
        <v>1632</v>
      </c>
      <c r="J84" s="80"/>
      <c r="K84" s="80"/>
      <c r="L84" s="80"/>
      <c r="M84" s="81"/>
      <c r="N84" s="78"/>
      <c r="O84" s="86"/>
    </row>
    <row r="85" spans="1:15" s="40" customFormat="1" ht="12" customHeight="1">
      <c r="A85" s="87"/>
      <c r="B85" s="172"/>
      <c r="C85" s="173"/>
      <c r="D85" s="444" t="s">
        <v>903</v>
      </c>
      <c r="E85" s="78">
        <v>9000</v>
      </c>
      <c r="F85" s="78">
        <f t="shared" si="2"/>
        <v>80007</v>
      </c>
      <c r="G85" s="80">
        <v>62677</v>
      </c>
      <c r="H85" s="80">
        <v>15698</v>
      </c>
      <c r="I85" s="80">
        <v>1632</v>
      </c>
      <c r="J85" s="80"/>
      <c r="K85" s="80"/>
      <c r="L85" s="80"/>
      <c r="M85" s="81"/>
      <c r="N85" s="78"/>
      <c r="O85" s="86"/>
    </row>
    <row r="86" spans="1:15" s="40" customFormat="1" ht="12" customHeight="1">
      <c r="A86" s="87"/>
      <c r="B86" s="172"/>
      <c r="C86" s="173"/>
      <c r="D86" s="444" t="s">
        <v>386</v>
      </c>
      <c r="E86" s="78">
        <v>9573</v>
      </c>
      <c r="F86" s="78">
        <f t="shared" si="2"/>
        <v>76583</v>
      </c>
      <c r="G86" s="80">
        <v>63292</v>
      </c>
      <c r="H86" s="80">
        <v>12149</v>
      </c>
      <c r="I86" s="80">
        <v>1142</v>
      </c>
      <c r="J86" s="80"/>
      <c r="K86" s="80"/>
      <c r="L86" s="80"/>
      <c r="M86" s="81"/>
      <c r="N86" s="78"/>
      <c r="O86" s="86"/>
    </row>
    <row r="87" spans="1:15" s="40" customFormat="1" ht="12" customHeight="1">
      <c r="A87" s="87" t="s">
        <v>244</v>
      </c>
      <c r="B87" s="1094" t="s">
        <v>1344</v>
      </c>
      <c r="C87" s="1095"/>
      <c r="D87" s="117" t="s">
        <v>516</v>
      </c>
      <c r="E87" s="78"/>
      <c r="F87" s="78">
        <f t="shared" si="2"/>
        <v>17500</v>
      </c>
      <c r="G87" s="80"/>
      <c r="H87" s="80"/>
      <c r="I87" s="80">
        <v>1600</v>
      </c>
      <c r="J87" s="80"/>
      <c r="K87" s="80"/>
      <c r="L87" s="80">
        <v>15900</v>
      </c>
      <c r="M87" s="81"/>
      <c r="N87" s="78"/>
      <c r="O87" s="86"/>
    </row>
    <row r="88" spans="1:15" s="40" customFormat="1" ht="12" customHeight="1">
      <c r="A88" s="87"/>
      <c r="B88" s="172"/>
      <c r="C88" s="173"/>
      <c r="D88" s="444" t="s">
        <v>903</v>
      </c>
      <c r="E88" s="79"/>
      <c r="F88" s="78">
        <f t="shared" si="2"/>
        <v>27349</v>
      </c>
      <c r="G88" s="80"/>
      <c r="H88" s="80"/>
      <c r="I88" s="80">
        <v>2500</v>
      </c>
      <c r="J88" s="80"/>
      <c r="K88" s="80"/>
      <c r="L88" s="80">
        <v>24849</v>
      </c>
      <c r="M88" s="81"/>
      <c r="N88" s="79"/>
      <c r="O88" s="82"/>
    </row>
    <row r="89" spans="1:15" s="40" customFormat="1" ht="12" customHeight="1">
      <c r="A89" s="87"/>
      <c r="B89" s="172"/>
      <c r="C89" s="173"/>
      <c r="D89" s="444" t="s">
        <v>386</v>
      </c>
      <c r="E89" s="79"/>
      <c r="F89" s="78">
        <f t="shared" si="2"/>
        <v>22544</v>
      </c>
      <c r="G89" s="80"/>
      <c r="H89" s="80"/>
      <c r="I89" s="80">
        <v>2851</v>
      </c>
      <c r="J89" s="80"/>
      <c r="K89" s="80"/>
      <c r="L89" s="80">
        <v>19693</v>
      </c>
      <c r="M89" s="81"/>
      <c r="N89" s="79"/>
      <c r="O89" s="82"/>
    </row>
    <row r="90" spans="1:15" s="40" customFormat="1" ht="12" customHeight="1">
      <c r="A90" s="87" t="s">
        <v>245</v>
      </c>
      <c r="B90" s="1094" t="s">
        <v>357</v>
      </c>
      <c r="C90" s="1095"/>
      <c r="D90" s="117" t="s">
        <v>516</v>
      </c>
      <c r="E90" s="79"/>
      <c r="F90" s="78">
        <f t="shared" si="2"/>
        <v>31640</v>
      </c>
      <c r="G90" s="80"/>
      <c r="H90" s="80"/>
      <c r="I90" s="80">
        <v>14040</v>
      </c>
      <c r="J90" s="80">
        <v>8000</v>
      </c>
      <c r="K90" s="80"/>
      <c r="L90" s="80"/>
      <c r="M90" s="81">
        <v>9600</v>
      </c>
      <c r="N90" s="79"/>
      <c r="O90" s="82"/>
    </row>
    <row r="91" spans="1:15" s="40" customFormat="1" ht="12" customHeight="1">
      <c r="A91" s="87"/>
      <c r="B91" s="172"/>
      <c r="C91" s="173"/>
      <c r="D91" s="444" t="s">
        <v>903</v>
      </c>
      <c r="E91" s="79"/>
      <c r="F91" s="78">
        <f t="shared" si="2"/>
        <v>30390</v>
      </c>
      <c r="G91" s="80"/>
      <c r="H91" s="80"/>
      <c r="I91" s="80">
        <v>14040</v>
      </c>
      <c r="J91" s="80">
        <v>6750</v>
      </c>
      <c r="K91" s="80"/>
      <c r="L91" s="80"/>
      <c r="M91" s="81">
        <v>9600</v>
      </c>
      <c r="N91" s="79"/>
      <c r="O91" s="82"/>
    </row>
    <row r="92" spans="1:15" s="40" customFormat="1" ht="12" customHeight="1">
      <c r="A92" s="87"/>
      <c r="B92" s="172"/>
      <c r="C92" s="173"/>
      <c r="D92" s="444" t="s">
        <v>386</v>
      </c>
      <c r="E92" s="79"/>
      <c r="F92" s="78">
        <f t="shared" si="2"/>
        <v>21160</v>
      </c>
      <c r="G92" s="80"/>
      <c r="H92" s="80">
        <v>9</v>
      </c>
      <c r="I92" s="80">
        <v>10453</v>
      </c>
      <c r="J92" s="80">
        <v>5562</v>
      </c>
      <c r="K92" s="80"/>
      <c r="L92" s="80"/>
      <c r="M92" s="81">
        <v>5136</v>
      </c>
      <c r="N92" s="79"/>
      <c r="O92" s="82"/>
    </row>
    <row r="93" spans="1:15" s="40" customFormat="1" ht="12" customHeight="1">
      <c r="A93" s="87"/>
      <c r="B93" s="1094" t="s">
        <v>358</v>
      </c>
      <c r="C93" s="1095"/>
      <c r="D93" s="117" t="s">
        <v>516</v>
      </c>
      <c r="E93" s="78">
        <v>136825</v>
      </c>
      <c r="F93" s="78">
        <f t="shared" si="2"/>
        <v>408118</v>
      </c>
      <c r="G93" s="89"/>
      <c r="H93" s="89"/>
      <c r="I93" s="89">
        <v>13080</v>
      </c>
      <c r="J93" s="89">
        <v>43290</v>
      </c>
      <c r="K93" s="89"/>
      <c r="L93" s="89">
        <v>4800</v>
      </c>
      <c r="M93" s="90">
        <v>346948</v>
      </c>
      <c r="N93" s="78"/>
      <c r="O93" s="86"/>
    </row>
    <row r="94" spans="1:15" s="40" customFormat="1" ht="12" customHeight="1">
      <c r="A94" s="83"/>
      <c r="B94" s="132"/>
      <c r="C94" s="166"/>
      <c r="D94" s="444" t="s">
        <v>903</v>
      </c>
      <c r="E94" s="79">
        <v>79567</v>
      </c>
      <c r="F94" s="78">
        <f t="shared" si="2"/>
        <v>382607</v>
      </c>
      <c r="G94" s="80"/>
      <c r="H94" s="80"/>
      <c r="I94" s="80">
        <v>19498</v>
      </c>
      <c r="J94" s="80">
        <v>78660</v>
      </c>
      <c r="K94" s="80"/>
      <c r="L94" s="80">
        <v>3948</v>
      </c>
      <c r="M94" s="81">
        <v>255501</v>
      </c>
      <c r="N94" s="79">
        <v>25000</v>
      </c>
      <c r="O94" s="82"/>
    </row>
    <row r="95" spans="1:15" s="40" customFormat="1" ht="12" customHeight="1">
      <c r="A95" s="83"/>
      <c r="B95" s="132"/>
      <c r="C95" s="166"/>
      <c r="D95" s="444" t="s">
        <v>386</v>
      </c>
      <c r="E95" s="79">
        <v>41116</v>
      </c>
      <c r="F95" s="78">
        <f t="shared" si="2"/>
        <v>279841</v>
      </c>
      <c r="G95" s="80"/>
      <c r="H95" s="80"/>
      <c r="I95" s="80">
        <v>19079</v>
      </c>
      <c r="J95" s="80">
        <v>23290</v>
      </c>
      <c r="K95" s="80"/>
      <c r="L95" s="80"/>
      <c r="M95" s="81">
        <v>234638</v>
      </c>
      <c r="N95" s="79">
        <v>2834</v>
      </c>
      <c r="O95" s="82"/>
    </row>
    <row r="96" spans="1:15" s="41" customFormat="1" ht="12" customHeight="1">
      <c r="A96" s="83"/>
      <c r="B96" s="1092" t="s">
        <v>359</v>
      </c>
      <c r="C96" s="1093"/>
      <c r="D96" s="118" t="s">
        <v>516</v>
      </c>
      <c r="E96" s="79"/>
      <c r="F96" s="78">
        <f t="shared" si="2"/>
        <v>37300</v>
      </c>
      <c r="G96" s="80"/>
      <c r="H96" s="80"/>
      <c r="I96" s="80">
        <v>31300</v>
      </c>
      <c r="J96" s="80">
        <v>6000</v>
      </c>
      <c r="K96" s="80"/>
      <c r="L96" s="80"/>
      <c r="M96" s="81"/>
      <c r="N96" s="79"/>
      <c r="O96" s="82"/>
    </row>
    <row r="97" spans="1:15" s="41" customFormat="1" ht="12" customHeight="1">
      <c r="A97" s="83"/>
      <c r="B97" s="132"/>
      <c r="C97" s="166"/>
      <c r="D97" s="444" t="s">
        <v>903</v>
      </c>
      <c r="E97" s="79"/>
      <c r="F97" s="78">
        <f t="shared" si="2"/>
        <v>37306</v>
      </c>
      <c r="G97" s="80"/>
      <c r="H97" s="80"/>
      <c r="I97" s="80">
        <v>29800</v>
      </c>
      <c r="J97" s="80">
        <v>7500</v>
      </c>
      <c r="K97" s="80"/>
      <c r="L97" s="80"/>
      <c r="M97" s="81">
        <v>6</v>
      </c>
      <c r="N97" s="79"/>
      <c r="O97" s="82"/>
    </row>
    <row r="98" spans="1:15" s="41" customFormat="1" ht="12" customHeight="1">
      <c r="A98" s="83"/>
      <c r="B98" s="132"/>
      <c r="C98" s="166"/>
      <c r="D98" s="444" t="s">
        <v>386</v>
      </c>
      <c r="E98" s="79"/>
      <c r="F98" s="78">
        <f t="shared" si="2"/>
        <v>8358</v>
      </c>
      <c r="G98" s="80"/>
      <c r="H98" s="80">
        <v>23</v>
      </c>
      <c r="I98" s="80">
        <v>5029</v>
      </c>
      <c r="J98" s="80">
        <v>3300</v>
      </c>
      <c r="K98" s="80"/>
      <c r="L98" s="80"/>
      <c r="M98" s="81">
        <v>6</v>
      </c>
      <c r="N98" s="79"/>
      <c r="O98" s="82"/>
    </row>
    <row r="99" spans="1:15" s="40" customFormat="1" ht="12" customHeight="1">
      <c r="A99" s="83"/>
      <c r="B99" s="1092" t="s">
        <v>1077</v>
      </c>
      <c r="C99" s="1093"/>
      <c r="D99" s="118" t="s">
        <v>516</v>
      </c>
      <c r="E99" s="79"/>
      <c r="F99" s="78">
        <f t="shared" si="2"/>
        <v>9000</v>
      </c>
      <c r="G99" s="80"/>
      <c r="H99" s="80"/>
      <c r="I99" s="80"/>
      <c r="J99" s="80">
        <v>9000</v>
      </c>
      <c r="K99" s="80"/>
      <c r="L99" s="80"/>
      <c r="M99" s="81"/>
      <c r="N99" s="79"/>
      <c r="O99" s="82"/>
    </row>
    <row r="100" spans="1:15" s="40" customFormat="1" ht="12" customHeight="1">
      <c r="A100" s="87"/>
      <c r="B100" s="172"/>
      <c r="C100" s="173"/>
      <c r="D100" s="444" t="s">
        <v>903</v>
      </c>
      <c r="E100" s="78"/>
      <c r="F100" s="78">
        <f t="shared" si="2"/>
        <v>30500</v>
      </c>
      <c r="G100" s="80"/>
      <c r="H100" s="80"/>
      <c r="I100" s="80">
        <v>9300</v>
      </c>
      <c r="J100" s="80">
        <v>14000</v>
      </c>
      <c r="K100" s="80"/>
      <c r="L100" s="80"/>
      <c r="M100" s="81">
        <v>7200</v>
      </c>
      <c r="N100" s="78"/>
      <c r="O100" s="86"/>
    </row>
    <row r="101" spans="1:15" s="40" customFormat="1" ht="12" customHeight="1">
      <c r="A101" s="87"/>
      <c r="B101" s="172"/>
      <c r="C101" s="173"/>
      <c r="D101" s="444" t="s">
        <v>386</v>
      </c>
      <c r="E101" s="78"/>
      <c r="F101" s="78">
        <f t="shared" si="2"/>
        <v>12406</v>
      </c>
      <c r="G101" s="80"/>
      <c r="H101" s="80">
        <v>27</v>
      </c>
      <c r="I101" s="80">
        <v>1179</v>
      </c>
      <c r="J101" s="80">
        <v>9000</v>
      </c>
      <c r="K101" s="80"/>
      <c r="L101" s="80"/>
      <c r="M101" s="81">
        <v>2200</v>
      </c>
      <c r="N101" s="78"/>
      <c r="O101" s="86"/>
    </row>
    <row r="102" spans="1:15" s="40" customFormat="1" ht="12" customHeight="1">
      <c r="A102" s="87" t="s">
        <v>240</v>
      </c>
      <c r="B102" s="1094" t="s">
        <v>360</v>
      </c>
      <c r="C102" s="1095"/>
      <c r="D102" s="117" t="s">
        <v>516</v>
      </c>
      <c r="E102" s="78">
        <v>5020</v>
      </c>
      <c r="F102" s="78">
        <f t="shared" si="2"/>
        <v>5250</v>
      </c>
      <c r="G102" s="97"/>
      <c r="H102" s="97"/>
      <c r="I102" s="92">
        <v>850</v>
      </c>
      <c r="J102" s="92"/>
      <c r="K102" s="98"/>
      <c r="L102" s="92">
        <v>2400</v>
      </c>
      <c r="M102" s="90">
        <v>2000</v>
      </c>
      <c r="N102" s="78"/>
      <c r="O102" s="86"/>
    </row>
    <row r="103" spans="1:15" s="40" customFormat="1" ht="12" customHeight="1">
      <c r="A103" s="87"/>
      <c r="B103" s="172"/>
      <c r="C103" s="173"/>
      <c r="D103" s="444" t="s">
        <v>903</v>
      </c>
      <c r="E103" s="78">
        <v>5020</v>
      </c>
      <c r="F103" s="78">
        <f t="shared" si="2"/>
        <v>36917</v>
      </c>
      <c r="G103" s="180"/>
      <c r="H103" s="180"/>
      <c r="I103" s="91">
        <v>850</v>
      </c>
      <c r="J103" s="91"/>
      <c r="K103" s="181"/>
      <c r="L103" s="91">
        <v>2067</v>
      </c>
      <c r="M103" s="81">
        <v>34000</v>
      </c>
      <c r="N103" s="78"/>
      <c r="O103" s="86"/>
    </row>
    <row r="104" spans="1:15" s="40" customFormat="1" ht="12" customHeight="1">
      <c r="A104" s="87"/>
      <c r="B104" s="172"/>
      <c r="C104" s="173"/>
      <c r="D104" s="444" t="s">
        <v>386</v>
      </c>
      <c r="E104" s="78">
        <v>5653</v>
      </c>
      <c r="F104" s="78">
        <f t="shared" si="2"/>
        <v>16700</v>
      </c>
      <c r="G104" s="180"/>
      <c r="H104" s="180"/>
      <c r="I104" s="91">
        <v>681</v>
      </c>
      <c r="J104" s="91"/>
      <c r="K104" s="181"/>
      <c r="L104" s="91"/>
      <c r="M104" s="81">
        <v>16019</v>
      </c>
      <c r="N104" s="78"/>
      <c r="O104" s="86"/>
    </row>
    <row r="105" spans="1:15" s="40" customFormat="1" ht="12" customHeight="1">
      <c r="A105" s="87" t="s">
        <v>505</v>
      </c>
      <c r="B105" s="1094" t="s">
        <v>267</v>
      </c>
      <c r="C105" s="1095"/>
      <c r="D105" s="117" t="s">
        <v>516</v>
      </c>
      <c r="E105" s="78">
        <v>6200</v>
      </c>
      <c r="F105" s="78">
        <f t="shared" si="2"/>
        <v>10700</v>
      </c>
      <c r="G105" s="80"/>
      <c r="H105" s="80"/>
      <c r="I105" s="80">
        <v>10700</v>
      </c>
      <c r="J105" s="80"/>
      <c r="K105" s="80"/>
      <c r="L105" s="80"/>
      <c r="M105" s="81"/>
      <c r="N105" s="77"/>
      <c r="O105" s="86"/>
    </row>
    <row r="106" spans="1:15" s="40" customFormat="1" ht="12" customHeight="1">
      <c r="A106" s="87"/>
      <c r="B106" s="172"/>
      <c r="C106" s="173"/>
      <c r="D106" s="444" t="s">
        <v>903</v>
      </c>
      <c r="E106" s="79">
        <v>6200</v>
      </c>
      <c r="F106" s="78">
        <f t="shared" si="2"/>
        <v>10700</v>
      </c>
      <c r="G106" s="80"/>
      <c r="H106" s="80"/>
      <c r="I106" s="80">
        <v>10700</v>
      </c>
      <c r="J106" s="80"/>
      <c r="K106" s="80"/>
      <c r="L106" s="80"/>
      <c r="M106" s="81"/>
      <c r="N106" s="99"/>
      <c r="O106" s="82"/>
    </row>
    <row r="107" spans="1:15" s="40" customFormat="1" ht="12" customHeight="1">
      <c r="A107" s="87"/>
      <c r="B107" s="172"/>
      <c r="C107" s="173"/>
      <c r="D107" s="444" t="s">
        <v>386</v>
      </c>
      <c r="E107" s="79">
        <v>7332</v>
      </c>
      <c r="F107" s="78">
        <f t="shared" si="2"/>
        <v>11505</v>
      </c>
      <c r="G107" s="80"/>
      <c r="H107" s="80"/>
      <c r="I107" s="80">
        <v>11505</v>
      </c>
      <c r="J107" s="80"/>
      <c r="K107" s="80"/>
      <c r="L107" s="80"/>
      <c r="M107" s="81"/>
      <c r="N107" s="99"/>
      <c r="O107" s="82"/>
    </row>
    <row r="108" spans="1:15" s="40" customFormat="1" ht="12" customHeight="1">
      <c r="A108" s="87" t="s">
        <v>527</v>
      </c>
      <c r="B108" s="1094" t="s">
        <v>361</v>
      </c>
      <c r="C108" s="1095"/>
      <c r="D108" s="117" t="s">
        <v>516</v>
      </c>
      <c r="E108" s="79"/>
      <c r="F108" s="78">
        <f t="shared" si="2"/>
        <v>97552</v>
      </c>
      <c r="G108" s="80"/>
      <c r="H108" s="80"/>
      <c r="I108" s="80">
        <v>76052</v>
      </c>
      <c r="J108" s="80"/>
      <c r="K108" s="80"/>
      <c r="L108" s="80"/>
      <c r="M108" s="81">
        <v>21500</v>
      </c>
      <c r="N108" s="99"/>
      <c r="O108" s="82"/>
    </row>
    <row r="109" spans="1:15" s="40" customFormat="1" ht="12" customHeight="1">
      <c r="A109" s="83"/>
      <c r="B109" s="169"/>
      <c r="C109" s="173"/>
      <c r="D109" s="444" t="s">
        <v>903</v>
      </c>
      <c r="E109" s="79"/>
      <c r="F109" s="78">
        <f t="shared" si="2"/>
        <v>80234</v>
      </c>
      <c r="G109" s="80"/>
      <c r="H109" s="80"/>
      <c r="I109" s="80">
        <v>57356</v>
      </c>
      <c r="J109" s="80"/>
      <c r="K109" s="80"/>
      <c r="L109" s="80"/>
      <c r="M109" s="81">
        <v>22878</v>
      </c>
      <c r="N109" s="99"/>
      <c r="O109" s="82"/>
    </row>
    <row r="110" spans="1:15" s="40" customFormat="1" ht="12" customHeight="1">
      <c r="A110" s="83"/>
      <c r="B110" s="169"/>
      <c r="C110" s="173"/>
      <c r="D110" s="444" t="s">
        <v>386</v>
      </c>
      <c r="E110" s="79"/>
      <c r="F110" s="78">
        <f t="shared" si="2"/>
        <v>77495</v>
      </c>
      <c r="G110" s="80"/>
      <c r="H110" s="80"/>
      <c r="I110" s="80">
        <v>56539</v>
      </c>
      <c r="J110" s="80"/>
      <c r="K110" s="80"/>
      <c r="L110" s="80"/>
      <c r="M110" s="81">
        <v>20956</v>
      </c>
      <c r="N110" s="99"/>
      <c r="O110" s="82"/>
    </row>
    <row r="111" spans="1:15" s="40" customFormat="1" ht="12" customHeight="1">
      <c r="A111" s="83" t="s">
        <v>212</v>
      </c>
      <c r="B111" s="1097" t="s">
        <v>229</v>
      </c>
      <c r="C111" s="1098"/>
      <c r="D111" s="117" t="s">
        <v>516</v>
      </c>
      <c r="E111" s="79">
        <v>56000</v>
      </c>
      <c r="F111" s="78">
        <f t="shared" si="2"/>
        <v>5400</v>
      </c>
      <c r="G111" s="80"/>
      <c r="H111" s="80"/>
      <c r="I111" s="80">
        <v>5400</v>
      </c>
      <c r="J111" s="80"/>
      <c r="K111" s="80"/>
      <c r="L111" s="80"/>
      <c r="M111" s="81"/>
      <c r="N111" s="99"/>
      <c r="O111" s="82"/>
    </row>
    <row r="112" spans="1:15" s="40" customFormat="1" ht="12" customHeight="1">
      <c r="A112" s="83"/>
      <c r="B112" s="167"/>
      <c r="C112" s="182"/>
      <c r="D112" s="444" t="s">
        <v>903</v>
      </c>
      <c r="E112" s="79">
        <v>56000</v>
      </c>
      <c r="F112" s="78">
        <f t="shared" si="2"/>
        <v>18459</v>
      </c>
      <c r="G112" s="80"/>
      <c r="H112" s="80"/>
      <c r="I112" s="80">
        <v>5400</v>
      </c>
      <c r="J112" s="80">
        <v>13059</v>
      </c>
      <c r="K112" s="80"/>
      <c r="L112" s="80"/>
      <c r="M112" s="81"/>
      <c r="N112" s="99"/>
      <c r="O112" s="82"/>
    </row>
    <row r="113" spans="1:15" s="40" customFormat="1" ht="12" customHeight="1">
      <c r="A113" s="83"/>
      <c r="B113" s="167"/>
      <c r="C113" s="182"/>
      <c r="D113" s="444" t="s">
        <v>386</v>
      </c>
      <c r="E113" s="79">
        <v>55568</v>
      </c>
      <c r="F113" s="78">
        <f t="shared" si="2"/>
        <v>10308</v>
      </c>
      <c r="G113" s="80"/>
      <c r="H113" s="80"/>
      <c r="I113" s="80">
        <v>5718</v>
      </c>
      <c r="J113" s="80">
        <v>4590</v>
      </c>
      <c r="K113" s="80"/>
      <c r="L113" s="80"/>
      <c r="M113" s="81"/>
      <c r="N113" s="99"/>
      <c r="O113" s="82"/>
    </row>
    <row r="114" spans="1:15" s="40" customFormat="1" ht="12" customHeight="1">
      <c r="A114" s="100"/>
      <c r="B114" s="1124" t="s">
        <v>184</v>
      </c>
      <c r="C114" s="1124"/>
      <c r="D114" s="117" t="s">
        <v>516</v>
      </c>
      <c r="E114" s="78"/>
      <c r="F114" s="78">
        <f t="shared" si="2"/>
        <v>38556</v>
      </c>
      <c r="G114" s="101"/>
      <c r="H114" s="101"/>
      <c r="I114" s="91"/>
      <c r="J114" s="101"/>
      <c r="K114" s="101"/>
      <c r="L114" s="102"/>
      <c r="M114" s="76"/>
      <c r="N114" s="77"/>
      <c r="O114" s="95">
        <v>38556</v>
      </c>
    </row>
    <row r="115" spans="1:15" s="40" customFormat="1" ht="12" customHeight="1">
      <c r="A115" s="100"/>
      <c r="B115" s="177"/>
      <c r="C115" s="177"/>
      <c r="D115" s="444" t="s">
        <v>903</v>
      </c>
      <c r="E115" s="78"/>
      <c r="F115" s="78">
        <f t="shared" si="2"/>
        <v>0</v>
      </c>
      <c r="G115" s="101"/>
      <c r="H115" s="101"/>
      <c r="I115" s="91"/>
      <c r="J115" s="101"/>
      <c r="K115" s="101"/>
      <c r="L115" s="102"/>
      <c r="M115" s="76"/>
      <c r="N115" s="77"/>
      <c r="O115" s="95"/>
    </row>
    <row r="116" spans="1:15" s="40" customFormat="1" ht="12" customHeight="1">
      <c r="A116" s="100"/>
      <c r="B116" s="177"/>
      <c r="C116" s="177"/>
      <c r="D116" s="444" t="s">
        <v>386</v>
      </c>
      <c r="E116" s="78"/>
      <c r="F116" s="78">
        <f t="shared" si="2"/>
        <v>0</v>
      </c>
      <c r="G116" s="101"/>
      <c r="H116" s="101"/>
      <c r="I116" s="91"/>
      <c r="J116" s="101"/>
      <c r="K116" s="101"/>
      <c r="L116" s="102"/>
      <c r="M116" s="76"/>
      <c r="N116" s="77"/>
      <c r="O116" s="95"/>
    </row>
    <row r="117" spans="1:15" s="40" customFormat="1" ht="12" customHeight="1">
      <c r="A117" s="87" t="s">
        <v>236</v>
      </c>
      <c r="B117" s="1094" t="s">
        <v>211</v>
      </c>
      <c r="C117" s="1095"/>
      <c r="D117" s="117" t="s">
        <v>516</v>
      </c>
      <c r="E117" s="78">
        <v>3109197</v>
      </c>
      <c r="F117" s="78">
        <f t="shared" si="2"/>
        <v>0</v>
      </c>
      <c r="G117" s="80"/>
      <c r="H117" s="80"/>
      <c r="I117" s="80"/>
      <c r="J117" s="80"/>
      <c r="K117" s="80"/>
      <c r="L117" s="80"/>
      <c r="M117" s="81"/>
      <c r="N117" s="77"/>
      <c r="O117" s="86"/>
    </row>
    <row r="118" spans="1:15" s="40" customFormat="1" ht="12" customHeight="1">
      <c r="A118" s="87"/>
      <c r="B118" s="172"/>
      <c r="C118" s="173"/>
      <c r="D118" s="444" t="s">
        <v>903</v>
      </c>
      <c r="E118" s="78">
        <v>3198866</v>
      </c>
      <c r="F118" s="78">
        <f t="shared" si="2"/>
        <v>0</v>
      </c>
      <c r="G118" s="80"/>
      <c r="H118" s="80"/>
      <c r="I118" s="80"/>
      <c r="J118" s="80"/>
      <c r="K118" s="80"/>
      <c r="L118" s="80"/>
      <c r="M118" s="81"/>
      <c r="N118" s="77"/>
      <c r="O118" s="86"/>
    </row>
    <row r="119" spans="1:15" s="40" customFormat="1" ht="12" customHeight="1">
      <c r="A119" s="87"/>
      <c r="B119" s="172"/>
      <c r="C119" s="173"/>
      <c r="D119" s="444" t="s">
        <v>386</v>
      </c>
      <c r="E119" s="78">
        <v>3207659</v>
      </c>
      <c r="F119" s="78">
        <f t="shared" si="2"/>
        <v>0</v>
      </c>
      <c r="G119" s="80"/>
      <c r="H119" s="80"/>
      <c r="I119" s="80"/>
      <c r="J119" s="80"/>
      <c r="K119" s="80"/>
      <c r="L119" s="80"/>
      <c r="M119" s="81"/>
      <c r="N119" s="77"/>
      <c r="O119" s="86"/>
    </row>
    <row r="120" spans="1:15" s="40" customFormat="1" ht="12" customHeight="1">
      <c r="A120" s="87" t="s">
        <v>237</v>
      </c>
      <c r="B120" s="1094" t="s">
        <v>185</v>
      </c>
      <c r="C120" s="1069"/>
      <c r="D120" s="117" t="s">
        <v>516</v>
      </c>
      <c r="E120" s="78"/>
      <c r="F120" s="78">
        <f t="shared" si="2"/>
        <v>103252</v>
      </c>
      <c r="G120" s="80"/>
      <c r="H120" s="80"/>
      <c r="I120" s="80"/>
      <c r="J120" s="80">
        <v>11000</v>
      </c>
      <c r="K120" s="80"/>
      <c r="L120" s="80"/>
      <c r="M120" s="81">
        <v>92252</v>
      </c>
      <c r="N120" s="77"/>
      <c r="O120" s="86"/>
    </row>
    <row r="121" spans="1:15" s="40" customFormat="1" ht="12" customHeight="1">
      <c r="A121" s="83"/>
      <c r="B121" s="132"/>
      <c r="C121" s="133"/>
      <c r="D121" s="444" t="s">
        <v>903</v>
      </c>
      <c r="E121" s="79">
        <v>49909</v>
      </c>
      <c r="F121" s="78">
        <f t="shared" si="2"/>
        <v>222611</v>
      </c>
      <c r="G121" s="80"/>
      <c r="H121" s="80"/>
      <c r="I121" s="80"/>
      <c r="J121" s="80">
        <v>11480</v>
      </c>
      <c r="K121" s="80"/>
      <c r="L121" s="80"/>
      <c r="M121" s="81">
        <v>211131</v>
      </c>
      <c r="N121" s="99"/>
      <c r="O121" s="82"/>
    </row>
    <row r="122" spans="1:15" s="40" customFormat="1" ht="12" customHeight="1">
      <c r="A122" s="83"/>
      <c r="B122" s="132"/>
      <c r="C122" s="133"/>
      <c r="D122" s="444" t="s">
        <v>386</v>
      </c>
      <c r="E122" s="79">
        <v>49909</v>
      </c>
      <c r="F122" s="78">
        <f t="shared" si="2"/>
        <v>23529</v>
      </c>
      <c r="G122" s="80"/>
      <c r="H122" s="80"/>
      <c r="I122" s="80">
        <v>384</v>
      </c>
      <c r="J122" s="80">
        <v>11480</v>
      </c>
      <c r="K122" s="80"/>
      <c r="L122" s="80"/>
      <c r="M122" s="81">
        <v>11665</v>
      </c>
      <c r="N122" s="99"/>
      <c r="O122" s="82"/>
    </row>
    <row r="123" spans="1:15" s="40" customFormat="1" ht="12" customHeight="1">
      <c r="A123" s="83" t="s">
        <v>238</v>
      </c>
      <c r="B123" s="1092" t="s">
        <v>189</v>
      </c>
      <c r="C123" s="1112"/>
      <c r="D123" s="118" t="s">
        <v>516</v>
      </c>
      <c r="E123" s="79">
        <v>1200</v>
      </c>
      <c r="F123" s="78">
        <f t="shared" si="2"/>
        <v>28900</v>
      </c>
      <c r="G123" s="80"/>
      <c r="H123" s="80"/>
      <c r="I123" s="80">
        <v>4000</v>
      </c>
      <c r="J123" s="80">
        <v>9900</v>
      </c>
      <c r="K123" s="80"/>
      <c r="L123" s="80">
        <v>15000</v>
      </c>
      <c r="M123" s="81"/>
      <c r="N123" s="99"/>
      <c r="O123" s="82"/>
    </row>
    <row r="124" spans="1:15" s="40" customFormat="1" ht="12" customHeight="1">
      <c r="A124" s="83"/>
      <c r="B124" s="132"/>
      <c r="C124" s="133"/>
      <c r="D124" s="444" t="s">
        <v>903</v>
      </c>
      <c r="E124" s="79">
        <v>8553</v>
      </c>
      <c r="F124" s="78">
        <f t="shared" si="2"/>
        <v>30257</v>
      </c>
      <c r="G124" s="80"/>
      <c r="H124" s="80"/>
      <c r="I124" s="80">
        <v>6057</v>
      </c>
      <c r="J124" s="80">
        <v>9200</v>
      </c>
      <c r="K124" s="80"/>
      <c r="L124" s="80">
        <v>15000</v>
      </c>
      <c r="M124" s="81"/>
      <c r="N124" s="99"/>
      <c r="O124" s="82"/>
    </row>
    <row r="125" spans="1:15" s="40" customFormat="1" ht="12" customHeight="1" thickBot="1">
      <c r="A125" s="134"/>
      <c r="B125" s="794"/>
      <c r="C125" s="795"/>
      <c r="D125" s="796" t="s">
        <v>386</v>
      </c>
      <c r="E125" s="135">
        <v>9150</v>
      </c>
      <c r="F125" s="135">
        <f t="shared" si="2"/>
        <v>18118</v>
      </c>
      <c r="G125" s="797"/>
      <c r="H125" s="797"/>
      <c r="I125" s="797">
        <v>7240</v>
      </c>
      <c r="J125" s="797">
        <v>9122</v>
      </c>
      <c r="K125" s="797"/>
      <c r="L125" s="797">
        <v>1756</v>
      </c>
      <c r="M125" s="798"/>
      <c r="N125" s="188"/>
      <c r="O125" s="136"/>
    </row>
    <row r="126" spans="1:15" s="40" customFormat="1" ht="12" customHeight="1" thickTop="1">
      <c r="A126" s="1113" t="s">
        <v>1334</v>
      </c>
      <c r="B126" s="1114"/>
      <c r="C126" s="1114"/>
      <c r="D126" s="1115"/>
      <c r="E126" s="1128" t="s">
        <v>226</v>
      </c>
      <c r="F126" s="1131" t="s">
        <v>1335</v>
      </c>
      <c r="G126" s="73" t="s">
        <v>1336</v>
      </c>
      <c r="H126" s="74"/>
      <c r="I126" s="74"/>
      <c r="J126" s="75"/>
      <c r="K126" s="75"/>
      <c r="L126" s="73" t="s">
        <v>511</v>
      </c>
      <c r="M126" s="74"/>
      <c r="N126" s="1089" t="s">
        <v>757</v>
      </c>
      <c r="O126" s="1030" t="s">
        <v>1315</v>
      </c>
    </row>
    <row r="127" spans="1:15" s="40" customFormat="1" ht="12" customHeight="1">
      <c r="A127" s="1116"/>
      <c r="B127" s="1117"/>
      <c r="C127" s="1117"/>
      <c r="D127" s="1118"/>
      <c r="E127" s="1129"/>
      <c r="F127" s="1132"/>
      <c r="G127" s="1096" t="s">
        <v>752</v>
      </c>
      <c r="H127" s="1096" t="s">
        <v>753</v>
      </c>
      <c r="I127" s="1096" t="s">
        <v>754</v>
      </c>
      <c r="J127" s="1096" t="s">
        <v>755</v>
      </c>
      <c r="K127" s="1096" t="s">
        <v>756</v>
      </c>
      <c r="L127" s="1033" t="s">
        <v>1330</v>
      </c>
      <c r="M127" s="1033" t="s">
        <v>1311</v>
      </c>
      <c r="N127" s="1090"/>
      <c r="O127" s="1031"/>
    </row>
    <row r="128" spans="1:15" s="40" customFormat="1" ht="38.25" customHeight="1" thickBot="1">
      <c r="A128" s="1119"/>
      <c r="B128" s="1120"/>
      <c r="C128" s="1120"/>
      <c r="D128" s="1121"/>
      <c r="E128" s="1130"/>
      <c r="F128" s="1133"/>
      <c r="G128" s="1091"/>
      <c r="H128" s="1091"/>
      <c r="I128" s="1091"/>
      <c r="J128" s="1091"/>
      <c r="K128" s="1091"/>
      <c r="L128" s="1034"/>
      <c r="M128" s="1034"/>
      <c r="N128" s="1091"/>
      <c r="O128" s="1032"/>
    </row>
    <row r="129" spans="1:15" s="40" customFormat="1" ht="12" customHeight="1" thickTop="1">
      <c r="A129" s="83"/>
      <c r="B129" s="132" t="s">
        <v>192</v>
      </c>
      <c r="C129" s="133"/>
      <c r="D129" s="118" t="s">
        <v>516</v>
      </c>
      <c r="E129" s="79"/>
      <c r="F129" s="78">
        <f t="shared" si="2"/>
        <v>102750</v>
      </c>
      <c r="G129" s="80"/>
      <c r="H129" s="80"/>
      <c r="I129" s="80"/>
      <c r="J129" s="80"/>
      <c r="K129" s="80"/>
      <c r="L129" s="80"/>
      <c r="M129" s="81">
        <v>102750</v>
      </c>
      <c r="N129" s="99"/>
      <c r="O129" s="82"/>
    </row>
    <row r="130" spans="1:15" s="40" customFormat="1" ht="12" customHeight="1">
      <c r="A130" s="264"/>
      <c r="B130" s="442"/>
      <c r="C130" s="265"/>
      <c r="D130" s="480" t="s">
        <v>903</v>
      </c>
      <c r="E130" s="84">
        <v>83466</v>
      </c>
      <c r="F130" s="84">
        <f>SUM(G130:O130)</f>
        <v>117660</v>
      </c>
      <c r="G130" s="84"/>
      <c r="H130" s="84"/>
      <c r="I130" s="84"/>
      <c r="J130" s="84">
        <v>14910</v>
      </c>
      <c r="K130" s="84"/>
      <c r="L130" s="84"/>
      <c r="M130" s="84">
        <v>102750</v>
      </c>
      <c r="N130" s="240"/>
      <c r="O130" s="111"/>
    </row>
    <row r="131" spans="1:15" s="40" customFormat="1" ht="12" customHeight="1">
      <c r="A131" s="87"/>
      <c r="B131" s="793"/>
      <c r="C131" s="633"/>
      <c r="D131" s="444" t="s">
        <v>386</v>
      </c>
      <c r="E131" s="78">
        <v>83466</v>
      </c>
      <c r="F131" s="78">
        <f>SUM(G131:O131)</f>
        <v>20222</v>
      </c>
      <c r="G131" s="78"/>
      <c r="H131" s="78"/>
      <c r="I131" s="78"/>
      <c r="J131" s="78">
        <v>14910</v>
      </c>
      <c r="K131" s="78"/>
      <c r="L131" s="78"/>
      <c r="M131" s="78">
        <v>5312</v>
      </c>
      <c r="N131" s="77"/>
      <c r="O131" s="86"/>
    </row>
    <row r="132" spans="1:15" s="40" customFormat="1" ht="12" customHeight="1">
      <c r="A132" s="83" t="s">
        <v>190</v>
      </c>
      <c r="B132" s="1092" t="s">
        <v>491</v>
      </c>
      <c r="C132" s="1093"/>
      <c r="D132" s="118" t="s">
        <v>516</v>
      </c>
      <c r="E132" s="79"/>
      <c r="F132" s="79">
        <f t="shared" si="2"/>
        <v>5000</v>
      </c>
      <c r="G132" s="80"/>
      <c r="H132" s="80"/>
      <c r="I132" s="80"/>
      <c r="J132" s="80"/>
      <c r="K132" s="80"/>
      <c r="L132" s="80"/>
      <c r="M132" s="81">
        <v>5000</v>
      </c>
      <c r="N132" s="99"/>
      <c r="O132" s="82"/>
    </row>
    <row r="133" spans="1:15" s="40" customFormat="1" ht="12" customHeight="1">
      <c r="A133" s="83"/>
      <c r="B133" s="132"/>
      <c r="C133" s="166"/>
      <c r="D133" s="444" t="s">
        <v>903</v>
      </c>
      <c r="E133" s="79"/>
      <c r="F133" s="78">
        <f>SUM(G133:O133)</f>
        <v>5000</v>
      </c>
      <c r="G133" s="79"/>
      <c r="H133" s="79"/>
      <c r="I133" s="79"/>
      <c r="J133" s="79"/>
      <c r="K133" s="79"/>
      <c r="L133" s="79"/>
      <c r="M133" s="79">
        <v>5000</v>
      </c>
      <c r="N133" s="99"/>
      <c r="O133" s="82"/>
    </row>
    <row r="134" spans="1:15" s="40" customFormat="1" ht="12" customHeight="1">
      <c r="A134" s="83"/>
      <c r="B134" s="132"/>
      <c r="C134" s="166"/>
      <c r="D134" s="444" t="s">
        <v>386</v>
      </c>
      <c r="E134" s="79"/>
      <c r="F134" s="78">
        <f>SUM(G134:O134)</f>
        <v>0</v>
      </c>
      <c r="G134" s="79"/>
      <c r="H134" s="79"/>
      <c r="I134" s="79"/>
      <c r="J134" s="79"/>
      <c r="K134" s="79"/>
      <c r="L134" s="79"/>
      <c r="M134" s="79"/>
      <c r="N134" s="99"/>
      <c r="O134" s="82"/>
    </row>
    <row r="135" spans="1:15" s="40" customFormat="1" ht="12" customHeight="1">
      <c r="A135" s="83" t="s">
        <v>55</v>
      </c>
      <c r="B135" s="437" t="s">
        <v>56</v>
      </c>
      <c r="C135" s="437"/>
      <c r="D135" s="118" t="s">
        <v>516</v>
      </c>
      <c r="E135" s="79"/>
      <c r="F135" s="79">
        <f t="shared" si="2"/>
        <v>0</v>
      </c>
      <c r="G135" s="79"/>
      <c r="H135" s="79"/>
      <c r="I135" s="79"/>
      <c r="J135" s="79"/>
      <c r="K135" s="79"/>
      <c r="L135" s="79"/>
      <c r="M135" s="79"/>
      <c r="N135" s="99"/>
      <c r="O135" s="82"/>
    </row>
    <row r="136" spans="1:15" s="40" customFormat="1" ht="12" customHeight="1">
      <c r="A136" s="83"/>
      <c r="B136" s="132"/>
      <c r="C136" s="166"/>
      <c r="D136" s="444" t="s">
        <v>903</v>
      </c>
      <c r="E136" s="79"/>
      <c r="F136" s="78">
        <f>SUM(G136:O136)</f>
        <v>0</v>
      </c>
      <c r="G136" s="80"/>
      <c r="H136" s="80"/>
      <c r="I136" s="80"/>
      <c r="J136" s="80"/>
      <c r="K136" s="80"/>
      <c r="L136" s="80"/>
      <c r="M136" s="81"/>
      <c r="N136" s="99"/>
      <c r="O136" s="82"/>
    </row>
    <row r="137" spans="1:15" s="40" customFormat="1" ht="12" customHeight="1">
      <c r="A137" s="83"/>
      <c r="B137" s="132"/>
      <c r="C137" s="166"/>
      <c r="D137" s="444" t="s">
        <v>386</v>
      </c>
      <c r="E137" s="79">
        <v>18</v>
      </c>
      <c r="F137" s="78">
        <f>SUM(G137:O137)</f>
        <v>36</v>
      </c>
      <c r="G137" s="80"/>
      <c r="H137" s="80"/>
      <c r="I137" s="80"/>
      <c r="J137" s="80">
        <v>36</v>
      </c>
      <c r="K137" s="80"/>
      <c r="L137" s="80"/>
      <c r="M137" s="81"/>
      <c r="N137" s="99"/>
      <c r="O137" s="82"/>
    </row>
    <row r="138" spans="1:15" s="40" customFormat="1" ht="12" customHeight="1">
      <c r="A138" s="83" t="s">
        <v>238</v>
      </c>
      <c r="B138" s="132" t="s">
        <v>191</v>
      </c>
      <c r="C138" s="166"/>
      <c r="D138" s="118" t="s">
        <v>516</v>
      </c>
      <c r="E138" s="79"/>
      <c r="F138" s="79">
        <f>SUM(G138:O138)</f>
        <v>500</v>
      </c>
      <c r="G138" s="80"/>
      <c r="H138" s="80"/>
      <c r="I138" s="80">
        <v>500</v>
      </c>
      <c r="J138" s="80"/>
      <c r="K138" s="80"/>
      <c r="L138" s="80"/>
      <c r="M138" s="81"/>
      <c r="N138" s="99"/>
      <c r="O138" s="82"/>
    </row>
    <row r="139" spans="1:15" s="40" customFormat="1" ht="12" customHeight="1">
      <c r="A139" s="83"/>
      <c r="B139" s="132"/>
      <c r="C139" s="166"/>
      <c r="D139" s="444" t="s">
        <v>903</v>
      </c>
      <c r="E139" s="79"/>
      <c r="F139" s="79">
        <f>SUM(G139:O139)</f>
        <v>500</v>
      </c>
      <c r="G139" s="80"/>
      <c r="H139" s="80"/>
      <c r="I139" s="80">
        <v>400</v>
      </c>
      <c r="J139" s="80">
        <v>100</v>
      </c>
      <c r="K139" s="80"/>
      <c r="L139" s="80"/>
      <c r="M139" s="81"/>
      <c r="N139" s="99"/>
      <c r="O139" s="82"/>
    </row>
    <row r="140" spans="1:15" s="40" customFormat="1" ht="12" customHeight="1">
      <c r="A140" s="83"/>
      <c r="B140" s="132"/>
      <c r="C140" s="166"/>
      <c r="D140" s="444" t="s">
        <v>386</v>
      </c>
      <c r="E140" s="79"/>
      <c r="F140" s="79">
        <f>SUM(G140:O140)</f>
        <v>470</v>
      </c>
      <c r="G140" s="80"/>
      <c r="H140" s="80"/>
      <c r="I140" s="80">
        <v>370</v>
      </c>
      <c r="J140" s="80">
        <v>100</v>
      </c>
      <c r="K140" s="80"/>
      <c r="L140" s="80"/>
      <c r="M140" s="81"/>
      <c r="N140" s="99"/>
      <c r="O140" s="82"/>
    </row>
    <row r="141" spans="1:15" s="40" customFormat="1" ht="12" customHeight="1">
      <c r="A141" s="83" t="s">
        <v>238</v>
      </c>
      <c r="B141" s="132" t="s">
        <v>1006</v>
      </c>
      <c r="C141" s="166"/>
      <c r="D141" s="118" t="s">
        <v>516</v>
      </c>
      <c r="E141" s="79">
        <v>9000</v>
      </c>
      <c r="F141" s="79">
        <f aca="true" t="shared" si="3" ref="F141:F195">SUM(G141:O141)</f>
        <v>33000</v>
      </c>
      <c r="G141" s="80"/>
      <c r="H141" s="80"/>
      <c r="I141" s="80">
        <v>33000</v>
      </c>
      <c r="J141" s="80"/>
      <c r="K141" s="80"/>
      <c r="L141" s="80"/>
      <c r="M141" s="81"/>
      <c r="N141" s="99"/>
      <c r="O141" s="82"/>
    </row>
    <row r="142" spans="1:15" s="40" customFormat="1" ht="12" customHeight="1">
      <c r="A142" s="83"/>
      <c r="B142" s="132"/>
      <c r="C142" s="166"/>
      <c r="D142" s="444" t="s">
        <v>903</v>
      </c>
      <c r="E142" s="79">
        <v>9000</v>
      </c>
      <c r="F142" s="79">
        <f t="shared" si="3"/>
        <v>33000</v>
      </c>
      <c r="G142" s="80"/>
      <c r="H142" s="80"/>
      <c r="I142" s="80">
        <v>33000</v>
      </c>
      <c r="J142" s="80"/>
      <c r="K142" s="80"/>
      <c r="L142" s="80"/>
      <c r="M142" s="81"/>
      <c r="N142" s="99"/>
      <c r="O142" s="82"/>
    </row>
    <row r="143" spans="1:15" s="40" customFormat="1" ht="12" customHeight="1">
      <c r="A143" s="83"/>
      <c r="B143" s="132"/>
      <c r="C143" s="166"/>
      <c r="D143" s="444" t="s">
        <v>386</v>
      </c>
      <c r="E143" s="79">
        <v>382</v>
      </c>
      <c r="F143" s="79">
        <f t="shared" si="3"/>
        <v>32146</v>
      </c>
      <c r="G143" s="80"/>
      <c r="H143" s="80"/>
      <c r="I143" s="80">
        <v>32146</v>
      </c>
      <c r="J143" s="80"/>
      <c r="K143" s="80"/>
      <c r="L143" s="80"/>
      <c r="M143" s="81"/>
      <c r="N143" s="99"/>
      <c r="O143" s="82"/>
    </row>
    <row r="144" spans="1:15" s="40" customFormat="1" ht="12" customHeight="1">
      <c r="A144" s="87" t="s">
        <v>190</v>
      </c>
      <c r="B144" s="1094" t="s">
        <v>223</v>
      </c>
      <c r="C144" s="1095"/>
      <c r="D144" s="117" t="s">
        <v>516</v>
      </c>
      <c r="E144" s="78">
        <v>25000</v>
      </c>
      <c r="F144" s="79">
        <f t="shared" si="3"/>
        <v>15000</v>
      </c>
      <c r="G144" s="80"/>
      <c r="H144" s="80"/>
      <c r="I144" s="80"/>
      <c r="J144" s="80">
        <v>15000</v>
      </c>
      <c r="K144" s="80"/>
      <c r="L144" s="80"/>
      <c r="M144" s="81"/>
      <c r="N144" s="77"/>
      <c r="O144" s="86"/>
    </row>
    <row r="145" spans="1:15" s="40" customFormat="1" ht="12" customHeight="1">
      <c r="A145" s="87"/>
      <c r="B145" s="172"/>
      <c r="C145" s="173"/>
      <c r="D145" s="444" t="s">
        <v>903</v>
      </c>
      <c r="E145" s="78">
        <v>25450</v>
      </c>
      <c r="F145" s="79">
        <f t="shared" si="3"/>
        <v>30685</v>
      </c>
      <c r="G145" s="80"/>
      <c r="H145" s="80"/>
      <c r="I145" s="80">
        <v>450</v>
      </c>
      <c r="J145" s="80">
        <v>18500</v>
      </c>
      <c r="K145" s="80"/>
      <c r="L145" s="80"/>
      <c r="M145" s="81">
        <v>11735</v>
      </c>
      <c r="N145" s="77"/>
      <c r="O145" s="86"/>
    </row>
    <row r="146" spans="1:15" s="40" customFormat="1" ht="12" customHeight="1">
      <c r="A146" s="87"/>
      <c r="B146" s="172"/>
      <c r="C146" s="173"/>
      <c r="D146" s="444" t="s">
        <v>386</v>
      </c>
      <c r="E146" s="78">
        <v>25452</v>
      </c>
      <c r="F146" s="79">
        <f t="shared" si="3"/>
        <v>22565</v>
      </c>
      <c r="G146" s="80"/>
      <c r="H146" s="80"/>
      <c r="I146" s="80">
        <v>442</v>
      </c>
      <c r="J146" s="80">
        <v>18400</v>
      </c>
      <c r="K146" s="80"/>
      <c r="L146" s="80"/>
      <c r="M146" s="81">
        <v>3723</v>
      </c>
      <c r="N146" s="77"/>
      <c r="O146" s="86"/>
    </row>
    <row r="147" spans="1:15" s="40" customFormat="1" ht="12" customHeight="1">
      <c r="A147" s="87" t="s">
        <v>239</v>
      </c>
      <c r="B147" s="1094" t="s">
        <v>221</v>
      </c>
      <c r="C147" s="1069"/>
      <c r="D147" s="117" t="s">
        <v>516</v>
      </c>
      <c r="E147" s="78"/>
      <c r="F147" s="79">
        <f t="shared" si="3"/>
        <v>5250</v>
      </c>
      <c r="G147" s="80"/>
      <c r="H147" s="80"/>
      <c r="I147" s="80"/>
      <c r="J147" s="80">
        <v>5250</v>
      </c>
      <c r="K147" s="80"/>
      <c r="L147" s="80"/>
      <c r="M147" s="81"/>
      <c r="N147" s="77"/>
      <c r="O147" s="86"/>
    </row>
    <row r="148" spans="1:15" s="40" customFormat="1" ht="12" customHeight="1">
      <c r="A148" s="83"/>
      <c r="B148" s="172"/>
      <c r="C148" s="171"/>
      <c r="D148" s="444" t="s">
        <v>903</v>
      </c>
      <c r="E148" s="78"/>
      <c r="F148" s="79">
        <f t="shared" si="3"/>
        <v>6375</v>
      </c>
      <c r="G148" s="80"/>
      <c r="H148" s="80"/>
      <c r="I148" s="80">
        <v>1125</v>
      </c>
      <c r="J148" s="80">
        <v>5250</v>
      </c>
      <c r="K148" s="80"/>
      <c r="L148" s="80"/>
      <c r="M148" s="81"/>
      <c r="N148" s="77"/>
      <c r="O148" s="86"/>
    </row>
    <row r="149" spans="1:15" s="40" customFormat="1" ht="12" customHeight="1">
      <c r="A149" s="83"/>
      <c r="B149" s="172"/>
      <c r="C149" s="171"/>
      <c r="D149" s="444" t="s">
        <v>386</v>
      </c>
      <c r="E149" s="78"/>
      <c r="F149" s="79">
        <f t="shared" si="3"/>
        <v>5250</v>
      </c>
      <c r="G149" s="80"/>
      <c r="H149" s="80"/>
      <c r="I149" s="80"/>
      <c r="J149" s="80">
        <v>5250</v>
      </c>
      <c r="K149" s="80"/>
      <c r="L149" s="80"/>
      <c r="M149" s="81"/>
      <c r="N149" s="77"/>
      <c r="O149" s="86"/>
    </row>
    <row r="150" spans="1:15" s="40" customFormat="1" ht="12" customHeight="1">
      <c r="A150" s="83" t="s">
        <v>246</v>
      </c>
      <c r="B150" s="1094" t="s">
        <v>528</v>
      </c>
      <c r="C150" s="1095"/>
      <c r="D150" s="117" t="s">
        <v>516</v>
      </c>
      <c r="E150" s="78"/>
      <c r="F150" s="79">
        <f t="shared" si="3"/>
        <v>3600</v>
      </c>
      <c r="G150" s="80"/>
      <c r="H150" s="80"/>
      <c r="I150" s="80">
        <v>3600</v>
      </c>
      <c r="J150" s="80"/>
      <c r="K150" s="80"/>
      <c r="L150" s="80"/>
      <c r="M150" s="81"/>
      <c r="N150" s="77"/>
      <c r="O150" s="86"/>
    </row>
    <row r="151" spans="1:15" s="40" customFormat="1" ht="12" customHeight="1">
      <c r="A151" s="83"/>
      <c r="B151" s="172"/>
      <c r="C151" s="173"/>
      <c r="D151" s="444" t="s">
        <v>903</v>
      </c>
      <c r="E151" s="78"/>
      <c r="F151" s="79">
        <f t="shared" si="3"/>
        <v>3600</v>
      </c>
      <c r="G151" s="80"/>
      <c r="H151" s="80"/>
      <c r="I151" s="80">
        <v>3600</v>
      </c>
      <c r="J151" s="80"/>
      <c r="K151" s="80"/>
      <c r="L151" s="80"/>
      <c r="M151" s="81"/>
      <c r="N151" s="77"/>
      <c r="O151" s="86"/>
    </row>
    <row r="152" spans="1:15" s="40" customFormat="1" ht="12" customHeight="1">
      <c r="A152" s="83"/>
      <c r="B152" s="172"/>
      <c r="C152" s="173"/>
      <c r="D152" s="444" t="s">
        <v>386</v>
      </c>
      <c r="E152" s="78"/>
      <c r="F152" s="79">
        <f t="shared" si="3"/>
        <v>2020</v>
      </c>
      <c r="G152" s="80"/>
      <c r="H152" s="80"/>
      <c r="I152" s="80">
        <v>2020</v>
      </c>
      <c r="J152" s="80"/>
      <c r="K152" s="80"/>
      <c r="L152" s="80"/>
      <c r="M152" s="81"/>
      <c r="N152" s="77"/>
      <c r="O152" s="86"/>
    </row>
    <row r="153" spans="1:15" s="40" customFormat="1" ht="12" customHeight="1">
      <c r="A153" s="87" t="s">
        <v>247</v>
      </c>
      <c r="B153" s="1094" t="s">
        <v>228</v>
      </c>
      <c r="C153" s="1069"/>
      <c r="D153" s="117" t="s">
        <v>516</v>
      </c>
      <c r="E153" s="78"/>
      <c r="F153" s="79">
        <f t="shared" si="3"/>
        <v>73500</v>
      </c>
      <c r="G153" s="80"/>
      <c r="H153" s="80">
        <v>7200</v>
      </c>
      <c r="I153" s="80"/>
      <c r="J153" s="80"/>
      <c r="K153" s="80">
        <v>66300</v>
      </c>
      <c r="L153" s="80"/>
      <c r="M153" s="81"/>
      <c r="N153" s="77"/>
      <c r="O153" s="86"/>
    </row>
    <row r="154" spans="1:15" s="40" customFormat="1" ht="12" customHeight="1">
      <c r="A154" s="87"/>
      <c r="B154" s="169"/>
      <c r="C154" s="171"/>
      <c r="D154" s="444" t="s">
        <v>903</v>
      </c>
      <c r="E154" s="78"/>
      <c r="F154" s="79">
        <f t="shared" si="3"/>
        <v>61243</v>
      </c>
      <c r="G154" s="80"/>
      <c r="H154" s="80">
        <v>6930</v>
      </c>
      <c r="I154" s="80"/>
      <c r="J154" s="80"/>
      <c r="K154" s="80">
        <v>54313</v>
      </c>
      <c r="L154" s="80"/>
      <c r="M154" s="81"/>
      <c r="N154" s="77"/>
      <c r="O154" s="86"/>
    </row>
    <row r="155" spans="1:15" s="40" customFormat="1" ht="12" customHeight="1">
      <c r="A155" s="87"/>
      <c r="B155" s="169"/>
      <c r="C155" s="171"/>
      <c r="D155" s="444" t="s">
        <v>386</v>
      </c>
      <c r="E155" s="78"/>
      <c r="F155" s="79">
        <f t="shared" si="3"/>
        <v>57793</v>
      </c>
      <c r="G155" s="80">
        <v>49</v>
      </c>
      <c r="H155" s="80">
        <v>6009</v>
      </c>
      <c r="I155" s="80">
        <v>121</v>
      </c>
      <c r="J155" s="80"/>
      <c r="K155" s="80">
        <v>51614</v>
      </c>
      <c r="L155" s="80"/>
      <c r="M155" s="81"/>
      <c r="N155" s="77"/>
      <c r="O155" s="86"/>
    </row>
    <row r="156" spans="1:15" s="40" customFormat="1" ht="12" customHeight="1">
      <c r="A156" s="104">
        <v>853322</v>
      </c>
      <c r="B156" s="1097" t="s">
        <v>227</v>
      </c>
      <c r="C156" s="1098"/>
      <c r="D156" s="117" t="s">
        <v>516</v>
      </c>
      <c r="E156" s="78"/>
      <c r="F156" s="79">
        <f t="shared" si="3"/>
        <v>5500</v>
      </c>
      <c r="G156" s="80"/>
      <c r="H156" s="80"/>
      <c r="I156" s="80"/>
      <c r="J156" s="80"/>
      <c r="K156" s="80">
        <v>5500</v>
      </c>
      <c r="L156" s="80"/>
      <c r="M156" s="81"/>
      <c r="N156" s="78"/>
      <c r="O156" s="86"/>
    </row>
    <row r="157" spans="1:15" s="40" customFormat="1" ht="12" customHeight="1">
      <c r="A157" s="104"/>
      <c r="B157" s="169"/>
      <c r="C157" s="170"/>
      <c r="D157" s="444" t="s">
        <v>903</v>
      </c>
      <c r="E157" s="78">
        <v>6339</v>
      </c>
      <c r="F157" s="79">
        <f t="shared" si="3"/>
        <v>6339</v>
      </c>
      <c r="G157" s="80"/>
      <c r="H157" s="80"/>
      <c r="I157" s="80"/>
      <c r="J157" s="80"/>
      <c r="K157" s="80">
        <v>6339</v>
      </c>
      <c r="L157" s="80"/>
      <c r="M157" s="81"/>
      <c r="N157" s="78"/>
      <c r="O157" s="86"/>
    </row>
    <row r="158" spans="1:15" s="40" customFormat="1" ht="12" customHeight="1">
      <c r="A158" s="104"/>
      <c r="B158" s="169"/>
      <c r="C158" s="170"/>
      <c r="D158" s="444" t="s">
        <v>386</v>
      </c>
      <c r="E158" s="78">
        <v>6339</v>
      </c>
      <c r="F158" s="79">
        <f t="shared" si="3"/>
        <v>6339</v>
      </c>
      <c r="G158" s="80"/>
      <c r="H158" s="80"/>
      <c r="I158" s="80"/>
      <c r="J158" s="80"/>
      <c r="K158" s="80">
        <v>6339</v>
      </c>
      <c r="L158" s="80"/>
      <c r="M158" s="81"/>
      <c r="N158" s="78"/>
      <c r="O158" s="86"/>
    </row>
    <row r="159" spans="1:15" s="40" customFormat="1" ht="12" customHeight="1">
      <c r="A159" s="104">
        <v>853333</v>
      </c>
      <c r="B159" s="1097" t="s">
        <v>231</v>
      </c>
      <c r="C159" s="1098"/>
      <c r="D159" s="117" t="s">
        <v>516</v>
      </c>
      <c r="E159" s="78"/>
      <c r="F159" s="79">
        <f t="shared" si="3"/>
        <v>29000</v>
      </c>
      <c r="G159" s="80"/>
      <c r="H159" s="80"/>
      <c r="I159" s="80"/>
      <c r="J159" s="80"/>
      <c r="K159" s="80">
        <v>29000</v>
      </c>
      <c r="L159" s="80"/>
      <c r="M159" s="81"/>
      <c r="N159" s="78"/>
      <c r="O159" s="86"/>
    </row>
    <row r="160" spans="1:15" s="40" customFormat="1" ht="12" customHeight="1">
      <c r="A160" s="104"/>
      <c r="B160" s="169"/>
      <c r="C160" s="170"/>
      <c r="D160" s="444" t="s">
        <v>903</v>
      </c>
      <c r="E160" s="78"/>
      <c r="F160" s="79">
        <f t="shared" si="3"/>
        <v>23144</v>
      </c>
      <c r="G160" s="80"/>
      <c r="H160" s="80"/>
      <c r="I160" s="80"/>
      <c r="J160" s="80"/>
      <c r="K160" s="80">
        <v>23144</v>
      </c>
      <c r="L160" s="80"/>
      <c r="M160" s="81"/>
      <c r="N160" s="78"/>
      <c r="O160" s="86"/>
    </row>
    <row r="161" spans="1:15" s="40" customFormat="1" ht="12" customHeight="1">
      <c r="A161" s="104"/>
      <c r="B161" s="169"/>
      <c r="C161" s="170"/>
      <c r="D161" s="444" t="s">
        <v>386</v>
      </c>
      <c r="E161" s="78"/>
      <c r="F161" s="79">
        <f t="shared" si="3"/>
        <v>23144</v>
      </c>
      <c r="G161" s="80"/>
      <c r="H161" s="80"/>
      <c r="I161" s="80"/>
      <c r="J161" s="80"/>
      <c r="K161" s="80">
        <v>23144</v>
      </c>
      <c r="L161" s="80"/>
      <c r="M161" s="81"/>
      <c r="N161" s="78"/>
      <c r="O161" s="86"/>
    </row>
    <row r="162" spans="1:15" s="40" customFormat="1" ht="12" customHeight="1">
      <c r="A162" s="87" t="s">
        <v>248</v>
      </c>
      <c r="B162" s="1094" t="s">
        <v>230</v>
      </c>
      <c r="C162" s="1095"/>
      <c r="D162" s="117" t="s">
        <v>516</v>
      </c>
      <c r="E162" s="78">
        <v>2500</v>
      </c>
      <c r="F162" s="79">
        <f t="shared" si="3"/>
        <v>29500</v>
      </c>
      <c r="G162" s="80"/>
      <c r="H162" s="80"/>
      <c r="I162" s="80"/>
      <c r="J162" s="80"/>
      <c r="K162" s="80">
        <v>29500</v>
      </c>
      <c r="L162" s="80"/>
      <c r="M162" s="81"/>
      <c r="N162" s="78"/>
      <c r="O162" s="86"/>
    </row>
    <row r="163" spans="1:15" s="40" customFormat="1" ht="12" customHeight="1">
      <c r="A163" s="87"/>
      <c r="B163" s="172"/>
      <c r="C163" s="173"/>
      <c r="D163" s="444" t="s">
        <v>903</v>
      </c>
      <c r="E163" s="78">
        <v>4670</v>
      </c>
      <c r="F163" s="79">
        <f t="shared" si="3"/>
        <v>33229</v>
      </c>
      <c r="G163" s="80"/>
      <c r="H163" s="80"/>
      <c r="I163" s="80"/>
      <c r="J163" s="80"/>
      <c r="K163" s="80">
        <v>33229</v>
      </c>
      <c r="L163" s="80"/>
      <c r="M163" s="81"/>
      <c r="N163" s="78"/>
      <c r="O163" s="86"/>
    </row>
    <row r="164" spans="1:15" s="40" customFormat="1" ht="12" customHeight="1">
      <c r="A164" s="87"/>
      <c r="B164" s="172"/>
      <c r="C164" s="173"/>
      <c r="D164" s="444" t="s">
        <v>386</v>
      </c>
      <c r="E164" s="78">
        <v>4659</v>
      </c>
      <c r="F164" s="79">
        <f t="shared" si="3"/>
        <v>31176</v>
      </c>
      <c r="G164" s="80"/>
      <c r="H164" s="80"/>
      <c r="I164" s="80"/>
      <c r="J164" s="80"/>
      <c r="K164" s="80">
        <v>31176</v>
      </c>
      <c r="L164" s="80"/>
      <c r="M164" s="81"/>
      <c r="N164" s="78"/>
      <c r="O164" s="86"/>
    </row>
    <row r="165" spans="1:15" s="40" customFormat="1" ht="12" customHeight="1">
      <c r="A165" s="87" t="s">
        <v>248</v>
      </c>
      <c r="B165" s="1094" t="s">
        <v>222</v>
      </c>
      <c r="C165" s="1069"/>
      <c r="D165" s="117" t="s">
        <v>516</v>
      </c>
      <c r="E165" s="78"/>
      <c r="F165" s="79">
        <f t="shared" si="3"/>
        <v>3844</v>
      </c>
      <c r="G165" s="78">
        <v>2464</v>
      </c>
      <c r="H165" s="78">
        <v>680</v>
      </c>
      <c r="I165" s="78">
        <v>700</v>
      </c>
      <c r="J165" s="78"/>
      <c r="K165" s="78"/>
      <c r="L165" s="78"/>
      <c r="M165" s="78"/>
      <c r="N165" s="78"/>
      <c r="O165" s="86"/>
    </row>
    <row r="166" spans="1:15" s="40" customFormat="1" ht="12" customHeight="1">
      <c r="A166" s="87"/>
      <c r="B166" s="167"/>
      <c r="C166" s="133"/>
      <c r="D166" s="444" t="s">
        <v>903</v>
      </c>
      <c r="E166" s="78"/>
      <c r="F166" s="79">
        <f t="shared" si="3"/>
        <v>3844</v>
      </c>
      <c r="G166" s="89">
        <v>2464</v>
      </c>
      <c r="H166" s="89">
        <v>680</v>
      </c>
      <c r="I166" s="89">
        <v>700</v>
      </c>
      <c r="J166" s="89"/>
      <c r="K166" s="89"/>
      <c r="L166" s="89"/>
      <c r="M166" s="90"/>
      <c r="N166" s="78"/>
      <c r="O166" s="86"/>
    </row>
    <row r="167" spans="1:15" s="40" customFormat="1" ht="12" customHeight="1">
      <c r="A167" s="87"/>
      <c r="B167" s="167"/>
      <c r="C167" s="133"/>
      <c r="D167" s="444" t="s">
        <v>386</v>
      </c>
      <c r="E167" s="78"/>
      <c r="F167" s="79">
        <f t="shared" si="3"/>
        <v>4385</v>
      </c>
      <c r="G167" s="89">
        <v>2816</v>
      </c>
      <c r="H167" s="89">
        <v>614</v>
      </c>
      <c r="I167" s="89">
        <v>955</v>
      </c>
      <c r="J167" s="89"/>
      <c r="K167" s="89"/>
      <c r="L167" s="89"/>
      <c r="M167" s="90"/>
      <c r="N167" s="78"/>
      <c r="O167" s="86"/>
    </row>
    <row r="168" spans="1:15" s="40" customFormat="1" ht="12" customHeight="1">
      <c r="A168" s="104">
        <v>853355</v>
      </c>
      <c r="B168" s="1099" t="s">
        <v>232</v>
      </c>
      <c r="C168" s="1100"/>
      <c r="D168" s="117" t="s">
        <v>516</v>
      </c>
      <c r="E168" s="78"/>
      <c r="F168" s="79">
        <f t="shared" si="3"/>
        <v>28700</v>
      </c>
      <c r="G168" s="89"/>
      <c r="H168" s="89"/>
      <c r="I168" s="89"/>
      <c r="J168" s="89"/>
      <c r="K168" s="89">
        <v>28700</v>
      </c>
      <c r="L168" s="89"/>
      <c r="M168" s="90"/>
      <c r="N168" s="78"/>
      <c r="O168" s="86"/>
    </row>
    <row r="169" spans="1:15" s="40" customFormat="1" ht="12" customHeight="1">
      <c r="A169" s="104"/>
      <c r="B169" s="167"/>
      <c r="C169" s="168"/>
      <c r="D169" s="444" t="s">
        <v>903</v>
      </c>
      <c r="E169" s="78"/>
      <c r="F169" s="79">
        <f t="shared" si="3"/>
        <v>32524</v>
      </c>
      <c r="G169" s="89"/>
      <c r="H169" s="89"/>
      <c r="I169" s="89"/>
      <c r="J169" s="89"/>
      <c r="K169" s="89">
        <v>32524</v>
      </c>
      <c r="L169" s="89"/>
      <c r="M169" s="90"/>
      <c r="N169" s="78"/>
      <c r="O169" s="86"/>
    </row>
    <row r="170" spans="1:15" s="40" customFormat="1" ht="12" customHeight="1">
      <c r="A170" s="104"/>
      <c r="B170" s="167"/>
      <c r="C170" s="168"/>
      <c r="D170" s="444" t="s">
        <v>386</v>
      </c>
      <c r="E170" s="78"/>
      <c r="F170" s="79">
        <f t="shared" si="3"/>
        <v>31567</v>
      </c>
      <c r="G170" s="89"/>
      <c r="H170" s="89"/>
      <c r="I170" s="89"/>
      <c r="J170" s="89"/>
      <c r="K170" s="89">
        <v>31567</v>
      </c>
      <c r="L170" s="89"/>
      <c r="M170" s="90"/>
      <c r="N170" s="78"/>
      <c r="O170" s="86"/>
    </row>
    <row r="171" spans="1:15" s="40" customFormat="1" ht="12" customHeight="1">
      <c r="A171" s="87" t="s">
        <v>249</v>
      </c>
      <c r="B171" s="1094" t="s">
        <v>362</v>
      </c>
      <c r="C171" s="1069"/>
      <c r="D171" s="117" t="s">
        <v>516</v>
      </c>
      <c r="E171" s="78"/>
      <c r="F171" s="79">
        <f t="shared" si="3"/>
        <v>6500</v>
      </c>
      <c r="G171" s="89"/>
      <c r="H171" s="89"/>
      <c r="I171" s="89">
        <v>4200</v>
      </c>
      <c r="J171" s="89">
        <v>2300</v>
      </c>
      <c r="K171" s="89"/>
      <c r="L171" s="89"/>
      <c r="M171" s="90"/>
      <c r="N171" s="78"/>
      <c r="O171" s="86"/>
    </row>
    <row r="172" spans="1:15" s="40" customFormat="1" ht="12" customHeight="1">
      <c r="A172" s="87"/>
      <c r="B172" s="172"/>
      <c r="C172" s="171"/>
      <c r="D172" s="444" t="s">
        <v>903</v>
      </c>
      <c r="E172" s="78"/>
      <c r="F172" s="79">
        <f t="shared" si="3"/>
        <v>18281</v>
      </c>
      <c r="G172" s="89"/>
      <c r="H172" s="89"/>
      <c r="I172" s="89">
        <v>4200</v>
      </c>
      <c r="J172" s="89">
        <v>2300</v>
      </c>
      <c r="K172" s="89"/>
      <c r="L172" s="89">
        <v>4000</v>
      </c>
      <c r="M172" s="90">
        <v>7781</v>
      </c>
      <c r="N172" s="78"/>
      <c r="O172" s="86"/>
    </row>
    <row r="173" spans="1:15" s="40" customFormat="1" ht="12" customHeight="1">
      <c r="A173" s="87"/>
      <c r="B173" s="172"/>
      <c r="C173" s="171"/>
      <c r="D173" s="444" t="s">
        <v>386</v>
      </c>
      <c r="E173" s="78"/>
      <c r="F173" s="79">
        <f t="shared" si="3"/>
        <v>11052</v>
      </c>
      <c r="G173" s="89"/>
      <c r="H173" s="89"/>
      <c r="I173" s="89">
        <v>8689</v>
      </c>
      <c r="J173" s="89">
        <v>2300</v>
      </c>
      <c r="K173" s="89"/>
      <c r="L173" s="89"/>
      <c r="M173" s="90">
        <v>63</v>
      </c>
      <c r="N173" s="78"/>
      <c r="O173" s="86"/>
    </row>
    <row r="174" spans="1:15" s="40" customFormat="1" ht="13.5" customHeight="1">
      <c r="A174" s="100">
        <v>901116</v>
      </c>
      <c r="B174" s="1122" t="s">
        <v>486</v>
      </c>
      <c r="C174" s="1123"/>
      <c r="D174" s="117" t="s">
        <v>516</v>
      </c>
      <c r="E174" s="78">
        <v>14257</v>
      </c>
      <c r="F174" s="79">
        <f t="shared" si="3"/>
        <v>5791</v>
      </c>
      <c r="G174" s="92"/>
      <c r="H174" s="92"/>
      <c r="I174" s="92"/>
      <c r="J174" s="92"/>
      <c r="K174" s="92"/>
      <c r="L174" s="92">
        <v>5791</v>
      </c>
      <c r="M174" s="93"/>
      <c r="N174" s="94"/>
      <c r="O174" s="95"/>
    </row>
    <row r="175" spans="1:15" s="40" customFormat="1" ht="12" customHeight="1">
      <c r="A175" s="183"/>
      <c r="B175" s="177"/>
      <c r="C175" s="184"/>
      <c r="D175" s="444" t="s">
        <v>903</v>
      </c>
      <c r="E175" s="79">
        <v>14257</v>
      </c>
      <c r="F175" s="79">
        <f t="shared" si="3"/>
        <v>7201</v>
      </c>
      <c r="G175" s="91"/>
      <c r="H175" s="91"/>
      <c r="I175" s="91"/>
      <c r="J175" s="91"/>
      <c r="K175" s="91"/>
      <c r="L175" s="91">
        <v>7201</v>
      </c>
      <c r="M175" s="185"/>
      <c r="N175" s="186"/>
      <c r="O175" s="187"/>
    </row>
    <row r="176" spans="1:15" s="40" customFormat="1" ht="12" customHeight="1">
      <c r="A176" s="183"/>
      <c r="B176" s="177"/>
      <c r="C176" s="184"/>
      <c r="D176" s="444" t="s">
        <v>386</v>
      </c>
      <c r="E176" s="79">
        <v>12489</v>
      </c>
      <c r="F176" s="79">
        <f t="shared" si="3"/>
        <v>8685</v>
      </c>
      <c r="G176" s="91"/>
      <c r="H176" s="91"/>
      <c r="I176" s="91"/>
      <c r="J176" s="91"/>
      <c r="K176" s="91"/>
      <c r="L176" s="91">
        <v>8685</v>
      </c>
      <c r="M176" s="185"/>
      <c r="N176" s="186"/>
      <c r="O176" s="187"/>
    </row>
    <row r="177" spans="1:15" s="40" customFormat="1" ht="12" customHeight="1">
      <c r="A177" s="83" t="s">
        <v>250</v>
      </c>
      <c r="B177" s="1099" t="s">
        <v>520</v>
      </c>
      <c r="C177" s="1100"/>
      <c r="D177" s="118" t="s">
        <v>516</v>
      </c>
      <c r="E177" s="79"/>
      <c r="F177" s="79">
        <f t="shared" si="3"/>
        <v>41690</v>
      </c>
      <c r="G177" s="80"/>
      <c r="H177" s="80"/>
      <c r="I177" s="80">
        <v>29640</v>
      </c>
      <c r="J177" s="80">
        <v>12050</v>
      </c>
      <c r="K177" s="80"/>
      <c r="L177" s="80"/>
      <c r="M177" s="81"/>
      <c r="N177" s="79"/>
      <c r="O177" s="82"/>
    </row>
    <row r="178" spans="1:15" s="40" customFormat="1" ht="12" customHeight="1">
      <c r="A178" s="83"/>
      <c r="B178" s="167"/>
      <c r="C178" s="168"/>
      <c r="D178" s="444" t="s">
        <v>903</v>
      </c>
      <c r="E178" s="79"/>
      <c r="F178" s="79">
        <f t="shared" si="3"/>
        <v>41690</v>
      </c>
      <c r="G178" s="80"/>
      <c r="H178" s="80"/>
      <c r="I178" s="80">
        <v>29640</v>
      </c>
      <c r="J178" s="80">
        <v>12050</v>
      </c>
      <c r="K178" s="80"/>
      <c r="L178" s="80"/>
      <c r="M178" s="81"/>
      <c r="N178" s="79"/>
      <c r="O178" s="82"/>
    </row>
    <row r="179" spans="1:15" s="40" customFormat="1" ht="12" customHeight="1">
      <c r="A179" s="83"/>
      <c r="B179" s="167"/>
      <c r="C179" s="168"/>
      <c r="D179" s="444" t="s">
        <v>386</v>
      </c>
      <c r="E179" s="79"/>
      <c r="F179" s="79">
        <f t="shared" si="3"/>
        <v>39297</v>
      </c>
      <c r="G179" s="80"/>
      <c r="H179" s="80"/>
      <c r="I179" s="80">
        <v>27355</v>
      </c>
      <c r="J179" s="80">
        <v>11942</v>
      </c>
      <c r="K179" s="80"/>
      <c r="L179" s="80"/>
      <c r="M179" s="81"/>
      <c r="N179" s="79"/>
      <c r="O179" s="82"/>
    </row>
    <row r="180" spans="1:15" s="40" customFormat="1" ht="12" customHeight="1">
      <c r="A180" s="83" t="s">
        <v>256</v>
      </c>
      <c r="B180" s="1094" t="s">
        <v>363</v>
      </c>
      <c r="C180" s="1069"/>
      <c r="D180" s="117" t="s">
        <v>516</v>
      </c>
      <c r="E180" s="79">
        <v>1200</v>
      </c>
      <c r="F180" s="79">
        <f t="shared" si="3"/>
        <v>32000</v>
      </c>
      <c r="G180" s="80"/>
      <c r="H180" s="80"/>
      <c r="I180" s="80">
        <v>6700</v>
      </c>
      <c r="J180" s="80">
        <v>20500</v>
      </c>
      <c r="K180" s="80"/>
      <c r="L180" s="80"/>
      <c r="M180" s="81"/>
      <c r="N180" s="79"/>
      <c r="O180" s="82">
        <v>4800</v>
      </c>
    </row>
    <row r="181" spans="1:15" s="40" customFormat="1" ht="12" customHeight="1">
      <c r="A181" s="83"/>
      <c r="B181" s="172"/>
      <c r="C181" s="171"/>
      <c r="D181" s="444" t="s">
        <v>903</v>
      </c>
      <c r="E181" s="79">
        <v>2700</v>
      </c>
      <c r="F181" s="79">
        <f t="shared" si="3"/>
        <v>32400</v>
      </c>
      <c r="G181" s="80"/>
      <c r="H181" s="80"/>
      <c r="I181" s="80">
        <v>8350</v>
      </c>
      <c r="J181" s="80">
        <v>24050</v>
      </c>
      <c r="K181" s="80"/>
      <c r="L181" s="80"/>
      <c r="M181" s="81"/>
      <c r="N181" s="79"/>
      <c r="O181" s="82"/>
    </row>
    <row r="182" spans="1:15" s="40" customFormat="1" ht="12" customHeight="1">
      <c r="A182" s="83"/>
      <c r="B182" s="172"/>
      <c r="C182" s="171"/>
      <c r="D182" s="444" t="s">
        <v>386</v>
      </c>
      <c r="E182" s="79">
        <v>2834</v>
      </c>
      <c r="F182" s="79">
        <f t="shared" si="3"/>
        <v>32046</v>
      </c>
      <c r="G182" s="80"/>
      <c r="H182" s="80">
        <v>7</v>
      </c>
      <c r="I182" s="80">
        <v>7989</v>
      </c>
      <c r="J182" s="80">
        <v>24050</v>
      </c>
      <c r="K182" s="80"/>
      <c r="L182" s="80"/>
      <c r="M182" s="81"/>
      <c r="N182" s="79"/>
      <c r="O182" s="82"/>
    </row>
    <row r="183" spans="1:15" s="40" customFormat="1" ht="12" customHeight="1">
      <c r="A183" s="87" t="s">
        <v>257</v>
      </c>
      <c r="B183" s="1094" t="s">
        <v>224</v>
      </c>
      <c r="C183" s="1069"/>
      <c r="D183" s="117" t="s">
        <v>516</v>
      </c>
      <c r="E183" s="78"/>
      <c r="F183" s="79">
        <f t="shared" si="3"/>
        <v>32600</v>
      </c>
      <c r="G183" s="89"/>
      <c r="H183" s="89"/>
      <c r="I183" s="89">
        <v>10000</v>
      </c>
      <c r="J183" s="89">
        <v>11600</v>
      </c>
      <c r="K183" s="89"/>
      <c r="L183" s="89"/>
      <c r="M183" s="90">
        <v>11000</v>
      </c>
      <c r="N183" s="78"/>
      <c r="O183" s="86"/>
    </row>
    <row r="184" spans="1:15" s="40" customFormat="1" ht="12" customHeight="1">
      <c r="A184" s="83"/>
      <c r="B184" s="132"/>
      <c r="C184" s="133"/>
      <c r="D184" s="444" t="s">
        <v>903</v>
      </c>
      <c r="E184" s="79">
        <v>2000</v>
      </c>
      <c r="F184" s="79">
        <f t="shared" si="3"/>
        <v>80300</v>
      </c>
      <c r="G184" s="80"/>
      <c r="H184" s="80"/>
      <c r="I184" s="80">
        <v>11300</v>
      </c>
      <c r="J184" s="80">
        <v>40000</v>
      </c>
      <c r="K184" s="80"/>
      <c r="L184" s="80">
        <v>16000</v>
      </c>
      <c r="M184" s="81">
        <v>11000</v>
      </c>
      <c r="N184" s="79">
        <v>2000</v>
      </c>
      <c r="O184" s="82"/>
    </row>
    <row r="185" spans="1:15" s="40" customFormat="1" ht="12" customHeight="1">
      <c r="A185" s="83"/>
      <c r="B185" s="132"/>
      <c r="C185" s="133"/>
      <c r="D185" s="444" t="s">
        <v>386</v>
      </c>
      <c r="E185" s="79">
        <v>2000</v>
      </c>
      <c r="F185" s="79">
        <f t="shared" si="3"/>
        <v>60410</v>
      </c>
      <c r="G185" s="80"/>
      <c r="H185" s="80">
        <v>196</v>
      </c>
      <c r="I185" s="80">
        <v>11285</v>
      </c>
      <c r="J185" s="80">
        <v>39500</v>
      </c>
      <c r="K185" s="80"/>
      <c r="L185" s="80">
        <v>6805</v>
      </c>
      <c r="M185" s="81">
        <v>624</v>
      </c>
      <c r="N185" s="79">
        <v>2000</v>
      </c>
      <c r="O185" s="82"/>
    </row>
    <row r="186" spans="1:15" s="40" customFormat="1" ht="12" customHeight="1">
      <c r="A186" s="83" t="s">
        <v>257</v>
      </c>
      <c r="B186" s="1092" t="s">
        <v>225</v>
      </c>
      <c r="C186" s="1112"/>
      <c r="D186" s="118" t="s">
        <v>516</v>
      </c>
      <c r="E186" s="79"/>
      <c r="F186" s="79">
        <f t="shared" si="3"/>
        <v>36000</v>
      </c>
      <c r="G186" s="80"/>
      <c r="H186" s="80"/>
      <c r="I186" s="80"/>
      <c r="J186" s="80">
        <v>36000</v>
      </c>
      <c r="K186" s="80"/>
      <c r="L186" s="80"/>
      <c r="M186" s="81"/>
      <c r="N186" s="79"/>
      <c r="O186" s="82"/>
    </row>
    <row r="187" spans="1:15" s="40" customFormat="1" ht="12" customHeight="1">
      <c r="A187" s="83"/>
      <c r="B187" s="132"/>
      <c r="C187" s="133"/>
      <c r="D187" s="444" t="s">
        <v>903</v>
      </c>
      <c r="E187" s="79"/>
      <c r="F187" s="79">
        <f t="shared" si="3"/>
        <v>39400</v>
      </c>
      <c r="G187" s="80"/>
      <c r="H187" s="80"/>
      <c r="I187" s="80"/>
      <c r="J187" s="80">
        <v>39400</v>
      </c>
      <c r="K187" s="80"/>
      <c r="L187" s="80"/>
      <c r="M187" s="81"/>
      <c r="N187" s="79"/>
      <c r="O187" s="82"/>
    </row>
    <row r="188" spans="1:15" s="40" customFormat="1" ht="12" customHeight="1" thickBot="1">
      <c r="A188" s="134"/>
      <c r="B188" s="794"/>
      <c r="C188" s="795"/>
      <c r="D188" s="796" t="s">
        <v>386</v>
      </c>
      <c r="E188" s="135"/>
      <c r="F188" s="135">
        <f t="shared" si="3"/>
        <v>39400</v>
      </c>
      <c r="G188" s="797"/>
      <c r="H188" s="797"/>
      <c r="I188" s="797"/>
      <c r="J188" s="797">
        <v>39400</v>
      </c>
      <c r="K188" s="797"/>
      <c r="L188" s="797"/>
      <c r="M188" s="798"/>
      <c r="N188" s="135"/>
      <c r="O188" s="136"/>
    </row>
    <row r="189" spans="1:15" s="40" customFormat="1" ht="12" customHeight="1" thickTop="1">
      <c r="A189" s="1113" t="s">
        <v>1334</v>
      </c>
      <c r="B189" s="1114"/>
      <c r="C189" s="1114"/>
      <c r="D189" s="1115"/>
      <c r="E189" s="1128" t="s">
        <v>226</v>
      </c>
      <c r="F189" s="1131" t="s">
        <v>1335</v>
      </c>
      <c r="G189" s="73" t="s">
        <v>1336</v>
      </c>
      <c r="H189" s="74"/>
      <c r="I189" s="74"/>
      <c r="J189" s="75"/>
      <c r="K189" s="75"/>
      <c r="L189" s="73" t="s">
        <v>511</v>
      </c>
      <c r="M189" s="74"/>
      <c r="N189" s="1089" t="s">
        <v>758</v>
      </c>
      <c r="O189" s="1030" t="s">
        <v>1315</v>
      </c>
    </row>
    <row r="190" spans="1:15" s="40" customFormat="1" ht="12" customHeight="1">
      <c r="A190" s="1116"/>
      <c r="B190" s="1117"/>
      <c r="C190" s="1117"/>
      <c r="D190" s="1118"/>
      <c r="E190" s="1129"/>
      <c r="F190" s="1132"/>
      <c r="G190" s="1096" t="s">
        <v>752</v>
      </c>
      <c r="H190" s="1096" t="s">
        <v>753</v>
      </c>
      <c r="I190" s="1096" t="s">
        <v>754</v>
      </c>
      <c r="J190" s="1096" t="s">
        <v>755</v>
      </c>
      <c r="K190" s="1096" t="s">
        <v>756</v>
      </c>
      <c r="L190" s="1033" t="s">
        <v>1330</v>
      </c>
      <c r="M190" s="1033" t="s">
        <v>1311</v>
      </c>
      <c r="N190" s="1090"/>
      <c r="O190" s="1031"/>
    </row>
    <row r="191" spans="1:15" s="40" customFormat="1" ht="38.25" customHeight="1" thickBot="1">
      <c r="A191" s="1119"/>
      <c r="B191" s="1120"/>
      <c r="C191" s="1120"/>
      <c r="D191" s="1121"/>
      <c r="E191" s="1130"/>
      <c r="F191" s="1133"/>
      <c r="G191" s="1091"/>
      <c r="H191" s="1091"/>
      <c r="I191" s="1091"/>
      <c r="J191" s="1091"/>
      <c r="K191" s="1091"/>
      <c r="L191" s="1034"/>
      <c r="M191" s="1034"/>
      <c r="N191" s="1091"/>
      <c r="O191" s="1032"/>
    </row>
    <row r="192" spans="1:15" s="40" customFormat="1" ht="12" customHeight="1" thickTop="1">
      <c r="A192" s="83" t="s">
        <v>257</v>
      </c>
      <c r="B192" s="1092" t="s">
        <v>1005</v>
      </c>
      <c r="C192" s="1112"/>
      <c r="D192" s="118" t="s">
        <v>516</v>
      </c>
      <c r="E192" s="79"/>
      <c r="F192" s="79">
        <f t="shared" si="3"/>
        <v>25000</v>
      </c>
      <c r="G192" s="80"/>
      <c r="H192" s="80"/>
      <c r="I192" s="80"/>
      <c r="J192" s="80">
        <v>25000</v>
      </c>
      <c r="K192" s="80"/>
      <c r="L192" s="80"/>
      <c r="M192" s="81"/>
      <c r="N192" s="79"/>
      <c r="O192" s="82"/>
    </row>
    <row r="193" spans="1:15" s="40" customFormat="1" ht="12" customHeight="1">
      <c r="A193" s="264"/>
      <c r="B193" s="442"/>
      <c r="C193" s="265"/>
      <c r="D193" s="480" t="s">
        <v>903</v>
      </c>
      <c r="E193" s="84"/>
      <c r="F193" s="84">
        <f>SUM(G193:O193)</f>
        <v>76555</v>
      </c>
      <c r="G193" s="84"/>
      <c r="H193" s="84"/>
      <c r="I193" s="84"/>
      <c r="J193" s="84">
        <v>76555</v>
      </c>
      <c r="K193" s="84"/>
      <c r="L193" s="84"/>
      <c r="M193" s="84"/>
      <c r="N193" s="84"/>
      <c r="O193" s="111"/>
    </row>
    <row r="194" spans="1:15" s="40" customFormat="1" ht="12" customHeight="1">
      <c r="A194" s="87"/>
      <c r="B194" s="793"/>
      <c r="C194" s="633"/>
      <c r="D194" s="444" t="s">
        <v>386</v>
      </c>
      <c r="E194" s="78"/>
      <c r="F194" s="78">
        <f>SUM(G194:O194)</f>
        <v>75775</v>
      </c>
      <c r="G194" s="78"/>
      <c r="H194" s="78"/>
      <c r="I194" s="78"/>
      <c r="J194" s="78">
        <v>75775</v>
      </c>
      <c r="K194" s="78"/>
      <c r="L194" s="78"/>
      <c r="M194" s="78"/>
      <c r="N194" s="78"/>
      <c r="O194" s="86"/>
    </row>
    <row r="195" spans="1:15" s="40" customFormat="1" ht="12" customHeight="1">
      <c r="A195" s="83" t="s">
        <v>264</v>
      </c>
      <c r="B195" s="1092" t="s">
        <v>991</v>
      </c>
      <c r="C195" s="1112"/>
      <c r="D195" s="118" t="s">
        <v>516</v>
      </c>
      <c r="E195" s="79"/>
      <c r="F195" s="79">
        <f t="shared" si="3"/>
        <v>2350</v>
      </c>
      <c r="G195" s="80"/>
      <c r="H195" s="80"/>
      <c r="I195" s="80">
        <v>850</v>
      </c>
      <c r="J195" s="80"/>
      <c r="K195" s="80"/>
      <c r="L195" s="80">
        <v>1500</v>
      </c>
      <c r="M195" s="81"/>
      <c r="N195" s="79"/>
      <c r="O195" s="82"/>
    </row>
    <row r="196" spans="1:15" s="40" customFormat="1" ht="12" customHeight="1">
      <c r="A196" s="83"/>
      <c r="B196" s="132"/>
      <c r="C196" s="133"/>
      <c r="D196" s="444" t="s">
        <v>903</v>
      </c>
      <c r="E196" s="79">
        <v>484725</v>
      </c>
      <c r="F196" s="78">
        <f>SUM(G196:O196)</f>
        <v>542758</v>
      </c>
      <c r="G196" s="80"/>
      <c r="H196" s="80"/>
      <c r="I196" s="80">
        <v>5850</v>
      </c>
      <c r="J196" s="80">
        <v>384725</v>
      </c>
      <c r="K196" s="80"/>
      <c r="L196" s="80">
        <v>1500</v>
      </c>
      <c r="M196" s="81">
        <v>145683</v>
      </c>
      <c r="N196" s="79">
        <v>5000</v>
      </c>
      <c r="O196" s="82"/>
    </row>
    <row r="197" spans="1:15" s="40" customFormat="1" ht="12" customHeight="1">
      <c r="A197" s="83"/>
      <c r="B197" s="132"/>
      <c r="C197" s="133"/>
      <c r="D197" s="444" t="s">
        <v>386</v>
      </c>
      <c r="E197" s="79">
        <v>488001</v>
      </c>
      <c r="F197" s="78">
        <f>SUM(G197:O197)</f>
        <v>432991</v>
      </c>
      <c r="G197" s="80"/>
      <c r="H197" s="80"/>
      <c r="I197" s="80">
        <v>6357</v>
      </c>
      <c r="J197" s="80">
        <v>384725</v>
      </c>
      <c r="K197" s="80"/>
      <c r="L197" s="80"/>
      <c r="M197" s="81">
        <v>36909</v>
      </c>
      <c r="N197" s="79">
        <v>5000</v>
      </c>
      <c r="O197" s="82"/>
    </row>
    <row r="198" spans="1:15" s="40" customFormat="1" ht="12" customHeight="1">
      <c r="A198" s="83" t="s">
        <v>265</v>
      </c>
      <c r="B198" s="1092" t="s">
        <v>992</v>
      </c>
      <c r="C198" s="1112"/>
      <c r="D198" s="118" t="s">
        <v>516</v>
      </c>
      <c r="E198" s="79">
        <v>3000</v>
      </c>
      <c r="F198" s="79">
        <f>SUM(G198:O198)</f>
        <v>3000</v>
      </c>
      <c r="G198" s="80">
        <v>1600</v>
      </c>
      <c r="H198" s="80">
        <v>425</v>
      </c>
      <c r="I198" s="80">
        <v>975</v>
      </c>
      <c r="J198" s="80"/>
      <c r="K198" s="80"/>
      <c r="L198" s="80"/>
      <c r="M198" s="81"/>
      <c r="N198" s="79"/>
      <c r="O198" s="82"/>
    </row>
    <row r="199" spans="1:15" s="40" customFormat="1" ht="12" customHeight="1">
      <c r="A199" s="87"/>
      <c r="B199" s="172"/>
      <c r="C199" s="171"/>
      <c r="D199" s="444" t="s">
        <v>903</v>
      </c>
      <c r="E199" s="78">
        <v>3000</v>
      </c>
      <c r="F199" s="78">
        <f>SUM(G199:O199)</f>
        <v>3000</v>
      </c>
      <c r="G199" s="80">
        <v>1600</v>
      </c>
      <c r="H199" s="80">
        <v>425</v>
      </c>
      <c r="I199" s="80">
        <v>975</v>
      </c>
      <c r="J199" s="80"/>
      <c r="K199" s="80"/>
      <c r="L199" s="80"/>
      <c r="M199" s="81"/>
      <c r="N199" s="79"/>
      <c r="O199" s="82"/>
    </row>
    <row r="200" spans="1:15" s="40" customFormat="1" ht="12" customHeight="1">
      <c r="A200" s="87"/>
      <c r="B200" s="172"/>
      <c r="C200" s="171"/>
      <c r="D200" s="444" t="s">
        <v>386</v>
      </c>
      <c r="E200" s="78">
        <v>2749</v>
      </c>
      <c r="F200" s="78">
        <f>SUM(G200:O200)</f>
        <v>2353</v>
      </c>
      <c r="G200" s="80">
        <v>1245</v>
      </c>
      <c r="H200" s="80">
        <v>373</v>
      </c>
      <c r="I200" s="80">
        <v>735</v>
      </c>
      <c r="J200" s="80"/>
      <c r="K200" s="80"/>
      <c r="L200" s="80"/>
      <c r="M200" s="81"/>
      <c r="N200" s="79"/>
      <c r="O200" s="82"/>
    </row>
    <row r="201" spans="1:15" s="40" customFormat="1" ht="12" customHeight="1">
      <c r="A201" s="87"/>
      <c r="B201" s="1094" t="s">
        <v>1319</v>
      </c>
      <c r="C201" s="1069"/>
      <c r="D201" s="117" t="s">
        <v>516</v>
      </c>
      <c r="E201" s="78">
        <v>100000</v>
      </c>
      <c r="F201" s="78">
        <f aca="true" t="shared" si="4" ref="F201:F221">SUM(G201:O201)</f>
        <v>0</v>
      </c>
      <c r="G201" s="80"/>
      <c r="H201" s="80"/>
      <c r="I201" s="80"/>
      <c r="J201" s="80"/>
      <c r="K201" s="80"/>
      <c r="L201" s="80"/>
      <c r="M201" s="81"/>
      <c r="N201" s="79"/>
      <c r="O201" s="82"/>
    </row>
    <row r="202" spans="1:15" s="40" customFormat="1" ht="12" customHeight="1">
      <c r="A202" s="87"/>
      <c r="B202" s="172"/>
      <c r="C202" s="171"/>
      <c r="D202" s="444" t="s">
        <v>903</v>
      </c>
      <c r="E202" s="78">
        <v>112861</v>
      </c>
      <c r="F202" s="78">
        <f t="shared" si="4"/>
        <v>0</v>
      </c>
      <c r="G202" s="80"/>
      <c r="H202" s="80"/>
      <c r="I202" s="80"/>
      <c r="J202" s="80"/>
      <c r="K202" s="80"/>
      <c r="L202" s="80"/>
      <c r="M202" s="81"/>
      <c r="N202" s="79"/>
      <c r="O202" s="82"/>
    </row>
    <row r="203" spans="1:15" s="40" customFormat="1" ht="12" customHeight="1">
      <c r="A203" s="87"/>
      <c r="B203" s="172"/>
      <c r="C203" s="171"/>
      <c r="D203" s="444" t="s">
        <v>386</v>
      </c>
      <c r="E203" s="78">
        <v>124225</v>
      </c>
      <c r="F203" s="78">
        <f t="shared" si="4"/>
        <v>0</v>
      </c>
      <c r="G203" s="80"/>
      <c r="H203" s="80"/>
      <c r="I203" s="80"/>
      <c r="J203" s="80"/>
      <c r="K203" s="80"/>
      <c r="L203" s="80"/>
      <c r="M203" s="81"/>
      <c r="N203" s="79"/>
      <c r="O203" s="82"/>
    </row>
    <row r="204" spans="1:15" s="40" customFormat="1" ht="12" customHeight="1">
      <c r="A204" s="87"/>
      <c r="B204" s="1094" t="s">
        <v>1004</v>
      </c>
      <c r="C204" s="1069"/>
      <c r="D204" s="117" t="s">
        <v>516</v>
      </c>
      <c r="E204" s="78">
        <v>140000</v>
      </c>
      <c r="F204" s="78">
        <f t="shared" si="4"/>
        <v>0</v>
      </c>
      <c r="G204" s="80"/>
      <c r="H204" s="80"/>
      <c r="I204" s="80"/>
      <c r="J204" s="80"/>
      <c r="K204" s="80"/>
      <c r="L204" s="80"/>
      <c r="M204" s="81"/>
      <c r="N204" s="79"/>
      <c r="O204" s="82"/>
    </row>
    <row r="205" spans="1:15" s="40" customFormat="1" ht="12" customHeight="1">
      <c r="A205" s="87"/>
      <c r="B205" s="172"/>
      <c r="C205" s="171"/>
      <c r="D205" s="444" t="s">
        <v>903</v>
      </c>
      <c r="E205" s="78">
        <v>200000</v>
      </c>
      <c r="F205" s="78">
        <f t="shared" si="4"/>
        <v>0</v>
      </c>
      <c r="G205" s="80"/>
      <c r="H205" s="80"/>
      <c r="I205" s="80"/>
      <c r="J205" s="80"/>
      <c r="K205" s="80"/>
      <c r="L205" s="80"/>
      <c r="M205" s="81"/>
      <c r="N205" s="79"/>
      <c r="O205" s="82"/>
    </row>
    <row r="206" spans="1:15" s="40" customFormat="1" ht="12" customHeight="1">
      <c r="A206" s="87"/>
      <c r="B206" s="172"/>
      <c r="C206" s="171"/>
      <c r="D206" s="444" t="s">
        <v>386</v>
      </c>
      <c r="E206" s="78">
        <v>217922</v>
      </c>
      <c r="F206" s="78">
        <f t="shared" si="4"/>
        <v>0</v>
      </c>
      <c r="G206" s="80"/>
      <c r="H206" s="80"/>
      <c r="I206" s="80"/>
      <c r="J206" s="80"/>
      <c r="K206" s="80"/>
      <c r="L206" s="80"/>
      <c r="M206" s="81"/>
      <c r="N206" s="79"/>
      <c r="O206" s="82"/>
    </row>
    <row r="207" spans="1:15" s="40" customFormat="1" ht="12" customHeight="1">
      <c r="A207" s="87"/>
      <c r="B207" s="1094" t="s">
        <v>521</v>
      </c>
      <c r="C207" s="1069"/>
      <c r="D207" s="117" t="s">
        <v>516</v>
      </c>
      <c r="E207" s="78"/>
      <c r="F207" s="78">
        <f t="shared" si="4"/>
        <v>0</v>
      </c>
      <c r="G207" s="80"/>
      <c r="H207" s="80"/>
      <c r="I207" s="80"/>
      <c r="J207" s="80"/>
      <c r="K207" s="80"/>
      <c r="L207" s="80"/>
      <c r="M207" s="81"/>
      <c r="N207" s="79"/>
      <c r="O207" s="82"/>
    </row>
    <row r="208" spans="1:15" s="40" customFormat="1" ht="12" customHeight="1">
      <c r="A208" s="87"/>
      <c r="B208" s="172"/>
      <c r="C208" s="171"/>
      <c r="D208" s="444" t="s">
        <v>903</v>
      </c>
      <c r="E208" s="78"/>
      <c r="F208" s="78">
        <f t="shared" si="4"/>
        <v>0</v>
      </c>
      <c r="G208" s="80"/>
      <c r="H208" s="80"/>
      <c r="I208" s="80"/>
      <c r="J208" s="80"/>
      <c r="K208" s="80"/>
      <c r="L208" s="80"/>
      <c r="M208" s="81"/>
      <c r="N208" s="79"/>
      <c r="O208" s="82"/>
    </row>
    <row r="209" spans="1:15" s="40" customFormat="1" ht="12" customHeight="1">
      <c r="A209" s="87"/>
      <c r="B209" s="172"/>
      <c r="C209" s="171"/>
      <c r="D209" s="444" t="s">
        <v>386</v>
      </c>
      <c r="E209" s="78"/>
      <c r="F209" s="78">
        <f t="shared" si="4"/>
        <v>0</v>
      </c>
      <c r="G209" s="80"/>
      <c r="H209" s="80"/>
      <c r="I209" s="80"/>
      <c r="J209" s="80"/>
      <c r="K209" s="80"/>
      <c r="L209" s="80"/>
      <c r="M209" s="81"/>
      <c r="N209" s="79"/>
      <c r="O209" s="82"/>
    </row>
    <row r="210" spans="1:15" s="40" customFormat="1" ht="12" customHeight="1">
      <c r="A210" s="87"/>
      <c r="B210" s="1094" t="s">
        <v>522</v>
      </c>
      <c r="C210" s="1069"/>
      <c r="D210" s="117" t="s">
        <v>516</v>
      </c>
      <c r="E210" s="78"/>
      <c r="F210" s="78">
        <f t="shared" si="4"/>
        <v>0</v>
      </c>
      <c r="G210" s="80"/>
      <c r="H210" s="80"/>
      <c r="I210" s="80"/>
      <c r="J210" s="80"/>
      <c r="K210" s="80"/>
      <c r="L210" s="80"/>
      <c r="M210" s="81"/>
      <c r="N210" s="79"/>
      <c r="O210" s="82"/>
    </row>
    <row r="211" spans="1:15" s="40" customFormat="1" ht="12" customHeight="1">
      <c r="A211" s="87"/>
      <c r="B211" s="172"/>
      <c r="C211" s="171"/>
      <c r="D211" s="444" t="s">
        <v>903</v>
      </c>
      <c r="E211" s="78"/>
      <c r="F211" s="78">
        <f t="shared" si="4"/>
        <v>0</v>
      </c>
      <c r="G211" s="80"/>
      <c r="H211" s="80"/>
      <c r="I211" s="80"/>
      <c r="J211" s="80"/>
      <c r="K211" s="80"/>
      <c r="L211" s="80"/>
      <c r="M211" s="81"/>
      <c r="N211" s="79"/>
      <c r="O211" s="82"/>
    </row>
    <row r="212" spans="1:15" s="40" customFormat="1" ht="12" customHeight="1">
      <c r="A212" s="87"/>
      <c r="B212" s="172"/>
      <c r="C212" s="171"/>
      <c r="D212" s="444" t="s">
        <v>386</v>
      </c>
      <c r="E212" s="78"/>
      <c r="F212" s="78">
        <f t="shared" si="4"/>
        <v>0</v>
      </c>
      <c r="G212" s="80"/>
      <c r="H212" s="80"/>
      <c r="I212" s="80"/>
      <c r="J212" s="80"/>
      <c r="K212" s="80"/>
      <c r="L212" s="80"/>
      <c r="M212" s="81"/>
      <c r="N212" s="79"/>
      <c r="O212" s="82"/>
    </row>
    <row r="213" spans="1:15" s="40" customFormat="1" ht="12" customHeight="1">
      <c r="A213" s="87"/>
      <c r="B213" s="1094" t="s">
        <v>524</v>
      </c>
      <c r="C213" s="1069"/>
      <c r="D213" s="117" t="s">
        <v>516</v>
      </c>
      <c r="E213" s="78">
        <v>2200000</v>
      </c>
      <c r="F213" s="78">
        <f t="shared" si="4"/>
        <v>0</v>
      </c>
      <c r="G213" s="80"/>
      <c r="H213" s="80"/>
      <c r="I213" s="80"/>
      <c r="J213" s="80"/>
      <c r="K213" s="80"/>
      <c r="L213" s="80"/>
      <c r="M213" s="81"/>
      <c r="N213" s="79"/>
      <c r="O213" s="82"/>
    </row>
    <row r="214" spans="1:15" s="40" customFormat="1" ht="12" customHeight="1">
      <c r="A214" s="87"/>
      <c r="B214" s="172"/>
      <c r="C214" s="171"/>
      <c r="D214" s="444" t="s">
        <v>903</v>
      </c>
      <c r="E214" s="78">
        <v>2300000</v>
      </c>
      <c r="F214" s="78">
        <f t="shared" si="4"/>
        <v>0</v>
      </c>
      <c r="G214" s="80"/>
      <c r="H214" s="80"/>
      <c r="I214" s="80"/>
      <c r="J214" s="80"/>
      <c r="K214" s="80"/>
      <c r="L214" s="80"/>
      <c r="M214" s="81"/>
      <c r="N214" s="79"/>
      <c r="O214" s="82"/>
    </row>
    <row r="215" spans="1:15" s="40" customFormat="1" ht="12" customHeight="1">
      <c r="A215" s="87"/>
      <c r="B215" s="172"/>
      <c r="C215" s="171"/>
      <c r="D215" s="444" t="s">
        <v>386</v>
      </c>
      <c r="E215" s="78">
        <v>1578150</v>
      </c>
      <c r="F215" s="78">
        <f t="shared" si="4"/>
        <v>0</v>
      </c>
      <c r="G215" s="80"/>
      <c r="H215" s="80"/>
      <c r="I215" s="80"/>
      <c r="J215" s="80"/>
      <c r="K215" s="80"/>
      <c r="L215" s="80"/>
      <c r="M215" s="81"/>
      <c r="N215" s="79"/>
      <c r="O215" s="82"/>
    </row>
    <row r="216" spans="1:15" s="40" customFormat="1" ht="12" customHeight="1">
      <c r="A216" s="87"/>
      <c r="B216" s="1094" t="s">
        <v>532</v>
      </c>
      <c r="C216" s="1069"/>
      <c r="D216" s="117" t="s">
        <v>516</v>
      </c>
      <c r="E216" s="78"/>
      <c r="F216" s="78">
        <f t="shared" si="4"/>
        <v>1200000</v>
      </c>
      <c r="G216" s="80"/>
      <c r="H216" s="80"/>
      <c r="I216" s="80"/>
      <c r="J216" s="80"/>
      <c r="K216" s="80"/>
      <c r="L216" s="80"/>
      <c r="M216" s="81"/>
      <c r="N216" s="79"/>
      <c r="O216" s="82">
        <v>1200000</v>
      </c>
    </row>
    <row r="217" spans="1:15" s="40" customFormat="1" ht="12" customHeight="1">
      <c r="A217" s="103"/>
      <c r="B217" s="172"/>
      <c r="C217" s="171"/>
      <c r="D217" s="444" t="s">
        <v>903</v>
      </c>
      <c r="E217" s="78"/>
      <c r="F217" s="78">
        <f t="shared" si="4"/>
        <v>635061</v>
      </c>
      <c r="G217" s="80"/>
      <c r="H217" s="80"/>
      <c r="I217" s="80"/>
      <c r="J217" s="80"/>
      <c r="K217" s="80"/>
      <c r="L217" s="80"/>
      <c r="M217" s="81"/>
      <c r="N217" s="79"/>
      <c r="O217" s="82">
        <v>635061</v>
      </c>
    </row>
    <row r="218" spans="1:15" s="40" customFormat="1" ht="12" customHeight="1">
      <c r="A218" s="103"/>
      <c r="B218" s="172"/>
      <c r="C218" s="171"/>
      <c r="D218" s="444" t="s">
        <v>386</v>
      </c>
      <c r="E218" s="78"/>
      <c r="F218" s="78">
        <f t="shared" si="4"/>
        <v>0</v>
      </c>
      <c r="G218" s="80"/>
      <c r="H218" s="80"/>
      <c r="I218" s="80"/>
      <c r="J218" s="80"/>
      <c r="K218" s="80"/>
      <c r="L218" s="80"/>
      <c r="M218" s="81"/>
      <c r="N218" s="79"/>
      <c r="O218" s="82"/>
    </row>
    <row r="219" spans="1:15" s="40" customFormat="1" ht="12" customHeight="1">
      <c r="A219" s="103"/>
      <c r="B219" s="1094" t="s">
        <v>537</v>
      </c>
      <c r="C219" s="1069"/>
      <c r="D219" s="117" t="s">
        <v>516</v>
      </c>
      <c r="E219" s="78"/>
      <c r="F219" s="78">
        <f t="shared" si="4"/>
        <v>119575</v>
      </c>
      <c r="G219" s="80"/>
      <c r="H219" s="80"/>
      <c r="I219" s="80"/>
      <c r="J219" s="80"/>
      <c r="K219" s="80"/>
      <c r="L219" s="80"/>
      <c r="M219" s="81"/>
      <c r="N219" s="79"/>
      <c r="O219" s="82">
        <v>119575</v>
      </c>
    </row>
    <row r="220" spans="1:15" s="40" customFormat="1" ht="12" customHeight="1">
      <c r="A220" s="103"/>
      <c r="B220" s="169"/>
      <c r="C220" s="171"/>
      <c r="D220" s="444" t="s">
        <v>903</v>
      </c>
      <c r="E220" s="78"/>
      <c r="F220" s="78">
        <f t="shared" si="4"/>
        <v>27386</v>
      </c>
      <c r="G220" s="80"/>
      <c r="H220" s="80"/>
      <c r="I220" s="80"/>
      <c r="J220" s="80"/>
      <c r="K220" s="80"/>
      <c r="L220" s="80"/>
      <c r="M220" s="81"/>
      <c r="N220" s="79"/>
      <c r="O220" s="82">
        <v>27386</v>
      </c>
    </row>
    <row r="221" spans="1:15" s="40" customFormat="1" ht="12" customHeight="1">
      <c r="A221" s="103"/>
      <c r="B221" s="169"/>
      <c r="C221" s="171"/>
      <c r="D221" s="444" t="s">
        <v>386</v>
      </c>
      <c r="E221" s="78"/>
      <c r="F221" s="78">
        <f t="shared" si="4"/>
        <v>0</v>
      </c>
      <c r="G221" s="80"/>
      <c r="H221" s="80"/>
      <c r="I221" s="80"/>
      <c r="J221" s="80"/>
      <c r="K221" s="80"/>
      <c r="L221" s="80"/>
      <c r="M221" s="81"/>
      <c r="N221" s="79"/>
      <c r="O221" s="82"/>
    </row>
    <row r="222" spans="1:15" s="40" customFormat="1" ht="12" customHeight="1">
      <c r="A222" s="1105" t="s">
        <v>214</v>
      </c>
      <c r="B222" s="1106"/>
      <c r="C222" s="1107"/>
      <c r="D222" s="119" t="s">
        <v>516</v>
      </c>
      <c r="E222" s="105">
        <f>SUM(E9+E12+E15+E18+E21+E24+E27+E30+E33+E36+E39+E42+E45+E48+E51+E54+E57+E60+E66+E69+E72+E75+E78+E81+E84+E87+E90+E93+E96+E99+E102+E105+E108+E111+E114+E117+E120+E123+E129+E132+E135+E138+E141+E144+E147+E150+E153+E156+E159+E162+E165+E168+E171+E174+E177+E180+E183+E186+E192+E195+E198+E201+E204+E207+E210+E213+E216+E219)</f>
        <v>6217257</v>
      </c>
      <c r="F222" s="105">
        <f aca="true" t="shared" si="5" ref="F222:O222">SUM(F9+F12+F15+F18+F21+F24+F27+F30+F33+F36+F39+F42+F45+F48+F51+F54+F57+F60+F66+F69+F72+F75+F78+F81+F84+F87+F90+F93+F96+F99+F102+F105+F108+F111+F114+F117+F120+F123+F129+F132+F135+F138+F141+F144+F147+F150+F153+F156+F159+F162+F165+F168+F171+F174+F177+F180+F183+F186+F192+F195+F198+F201+F204+F207+F210+F213+F216+F219)</f>
        <v>4744829</v>
      </c>
      <c r="G222" s="105">
        <f t="shared" si="5"/>
        <v>449904</v>
      </c>
      <c r="H222" s="105">
        <f t="shared" si="5"/>
        <v>142199</v>
      </c>
      <c r="I222" s="105">
        <f t="shared" si="5"/>
        <v>822744</v>
      </c>
      <c r="J222" s="105">
        <f t="shared" si="5"/>
        <v>415373</v>
      </c>
      <c r="K222" s="105">
        <f t="shared" si="5"/>
        <v>159000</v>
      </c>
      <c r="L222" s="105">
        <f t="shared" si="5"/>
        <v>182906</v>
      </c>
      <c r="M222" s="105">
        <f t="shared" si="5"/>
        <v>1075299</v>
      </c>
      <c r="N222" s="105">
        <f t="shared" si="5"/>
        <v>26473</v>
      </c>
      <c r="O222" s="106">
        <f t="shared" si="5"/>
        <v>1470931</v>
      </c>
    </row>
    <row r="223" spans="1:17" s="42" customFormat="1" ht="12" customHeight="1">
      <c r="A223" s="72"/>
      <c r="B223" s="107"/>
      <c r="C223" s="107"/>
      <c r="D223" s="443" t="s">
        <v>903</v>
      </c>
      <c r="E223" s="105">
        <f aca="true" t="shared" si="6" ref="E223:O224">SUM(E10+E13+E16+E19+E22+E25+E28+E31+E34+E37+E40+E43+E46+E49+E52+E55+E58+E61+E67+E70+E73+E76+E79+E82+E85+E88+E91+E94+E97+E100+E103+E106+E109+E112+E115+E118+E121+E124+E130+E133+E136+E139+E142+E145+E148+E151+E154+E157+E160+E163+E166+E169+E172+E175+E178+E181+E184+E187+E193+E196+E199+E202+E205+E208+E211+E214+E217+E220)</f>
        <v>7281255</v>
      </c>
      <c r="F223" s="105">
        <f t="shared" si="6"/>
        <v>5700115</v>
      </c>
      <c r="G223" s="105">
        <f t="shared" si="6"/>
        <v>514471</v>
      </c>
      <c r="H223" s="105">
        <f t="shared" si="6"/>
        <v>154437</v>
      </c>
      <c r="I223" s="105">
        <f t="shared" si="6"/>
        <v>926197</v>
      </c>
      <c r="J223" s="105">
        <f t="shared" si="6"/>
        <v>999452</v>
      </c>
      <c r="K223" s="105">
        <f t="shared" si="6"/>
        <v>151549</v>
      </c>
      <c r="L223" s="105">
        <f t="shared" si="6"/>
        <v>400702</v>
      </c>
      <c r="M223" s="105">
        <f t="shared" si="6"/>
        <v>1780005</v>
      </c>
      <c r="N223" s="105">
        <f t="shared" si="6"/>
        <v>55112</v>
      </c>
      <c r="O223" s="106">
        <f t="shared" si="6"/>
        <v>718190</v>
      </c>
      <c r="P223" s="108"/>
      <c r="Q223" s="108"/>
    </row>
    <row r="224" spans="1:17" s="42" customFormat="1" ht="12" customHeight="1">
      <c r="A224" s="72"/>
      <c r="B224" s="107"/>
      <c r="C224" s="107"/>
      <c r="D224" s="443" t="s">
        <v>386</v>
      </c>
      <c r="E224" s="105">
        <f t="shared" si="6"/>
        <v>7201091</v>
      </c>
      <c r="F224" s="105">
        <f t="shared" si="6"/>
        <v>3217955</v>
      </c>
      <c r="G224" s="105">
        <f t="shared" si="6"/>
        <v>493174</v>
      </c>
      <c r="H224" s="105">
        <f t="shared" si="6"/>
        <v>145275</v>
      </c>
      <c r="I224" s="105">
        <f t="shared" si="6"/>
        <v>838287</v>
      </c>
      <c r="J224" s="105">
        <f t="shared" si="6"/>
        <v>855348</v>
      </c>
      <c r="K224" s="105">
        <f t="shared" si="6"/>
        <v>145910</v>
      </c>
      <c r="L224" s="105">
        <f t="shared" si="6"/>
        <v>163235</v>
      </c>
      <c r="M224" s="105">
        <f t="shared" si="6"/>
        <v>548943</v>
      </c>
      <c r="N224" s="105">
        <f t="shared" si="6"/>
        <v>27783</v>
      </c>
      <c r="O224" s="106">
        <f t="shared" si="6"/>
        <v>0</v>
      </c>
      <c r="P224" s="108"/>
      <c r="Q224" s="108"/>
    </row>
    <row r="225" spans="1:17" s="42" customFormat="1" ht="12" customHeight="1">
      <c r="A225" s="72"/>
      <c r="B225" s="107"/>
      <c r="C225" s="107"/>
      <c r="D225" s="120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6"/>
      <c r="P225" s="108"/>
      <c r="Q225" s="108"/>
    </row>
    <row r="226" spans="1:15" s="42" customFormat="1" ht="12" customHeight="1">
      <c r="A226" s="1105" t="s">
        <v>523</v>
      </c>
      <c r="B226" s="1108"/>
      <c r="C226" s="1109"/>
      <c r="D226" s="119" t="s">
        <v>516</v>
      </c>
      <c r="E226" s="105">
        <v>2500</v>
      </c>
      <c r="F226" s="105">
        <f>SUM(G226:O226)</f>
        <v>19384</v>
      </c>
      <c r="G226" s="109">
        <v>9000</v>
      </c>
      <c r="H226" s="109">
        <v>2594</v>
      </c>
      <c r="I226" s="109">
        <v>5630</v>
      </c>
      <c r="J226" s="109">
        <v>600</v>
      </c>
      <c r="K226" s="109"/>
      <c r="L226" s="109"/>
      <c r="M226" s="109">
        <v>1560</v>
      </c>
      <c r="N226" s="105"/>
      <c r="O226" s="106"/>
    </row>
    <row r="227" spans="1:15" s="42" customFormat="1" ht="12" customHeight="1">
      <c r="A227" s="72"/>
      <c r="B227" s="178"/>
      <c r="C227" s="178"/>
      <c r="D227" s="443" t="s">
        <v>903</v>
      </c>
      <c r="E227" s="105">
        <v>4058</v>
      </c>
      <c r="F227" s="105">
        <f>SUM(G227:O227)</f>
        <v>21074</v>
      </c>
      <c r="G227" s="109">
        <v>10046</v>
      </c>
      <c r="H227" s="109">
        <v>2722</v>
      </c>
      <c r="I227" s="109">
        <v>6146</v>
      </c>
      <c r="J227" s="109">
        <v>600</v>
      </c>
      <c r="K227" s="109"/>
      <c r="L227" s="109"/>
      <c r="M227" s="109">
        <v>1560</v>
      </c>
      <c r="N227" s="105"/>
      <c r="O227" s="106"/>
    </row>
    <row r="228" spans="1:15" s="42" customFormat="1" ht="12" customHeight="1">
      <c r="A228" s="72"/>
      <c r="B228" s="178"/>
      <c r="C228" s="178"/>
      <c r="D228" s="443" t="s">
        <v>386</v>
      </c>
      <c r="E228" s="105">
        <v>5437</v>
      </c>
      <c r="F228" s="105">
        <f>SUM(G228:O228)</f>
        <v>18902</v>
      </c>
      <c r="G228" s="109">
        <v>10046</v>
      </c>
      <c r="H228" s="109">
        <v>2722</v>
      </c>
      <c r="I228" s="109">
        <v>5366</v>
      </c>
      <c r="J228" s="109">
        <v>600</v>
      </c>
      <c r="K228" s="109"/>
      <c r="L228" s="109"/>
      <c r="M228" s="109">
        <v>168</v>
      </c>
      <c r="N228" s="105"/>
      <c r="O228" s="106"/>
    </row>
    <row r="229" spans="1:15" s="42" customFormat="1" ht="12" customHeight="1">
      <c r="A229" s="72"/>
      <c r="B229" s="107"/>
      <c r="C229" s="107"/>
      <c r="D229" s="120"/>
      <c r="E229" s="105"/>
      <c r="F229" s="105"/>
      <c r="G229" s="105"/>
      <c r="H229" s="105"/>
      <c r="I229" s="105"/>
      <c r="J229" s="109"/>
      <c r="K229" s="109"/>
      <c r="L229" s="109"/>
      <c r="M229" s="109"/>
      <c r="N229" s="105"/>
      <c r="O229" s="106"/>
    </row>
    <row r="230" spans="1:15" s="42" customFormat="1" ht="12" customHeight="1">
      <c r="A230" s="1101" t="s">
        <v>995</v>
      </c>
      <c r="B230" s="1102"/>
      <c r="C230" s="1103"/>
      <c r="D230" s="118"/>
      <c r="E230" s="105"/>
      <c r="F230" s="78"/>
      <c r="G230" s="78"/>
      <c r="H230" s="78"/>
      <c r="I230" s="78"/>
      <c r="J230" s="78"/>
      <c r="K230" s="78"/>
      <c r="L230" s="78"/>
      <c r="M230" s="78"/>
      <c r="N230" s="78"/>
      <c r="O230" s="86"/>
    </row>
    <row r="231" spans="1:15" s="42" customFormat="1" ht="12" customHeight="1">
      <c r="A231" s="87" t="s">
        <v>529</v>
      </c>
      <c r="B231" s="1097" t="s">
        <v>215</v>
      </c>
      <c r="C231" s="1104"/>
      <c r="D231" s="117" t="s">
        <v>516</v>
      </c>
      <c r="E231" s="78">
        <v>571</v>
      </c>
      <c r="F231" s="78">
        <f aca="true" t="shared" si="7" ref="F231:F239">SUM(G231:O231)</f>
        <v>571</v>
      </c>
      <c r="G231" s="110"/>
      <c r="H231" s="110"/>
      <c r="I231" s="110">
        <v>571</v>
      </c>
      <c r="J231" s="110"/>
      <c r="K231" s="110"/>
      <c r="L231" s="110"/>
      <c r="M231" s="110"/>
      <c r="N231" s="110"/>
      <c r="O231" s="111"/>
    </row>
    <row r="232" spans="1:15" s="42" customFormat="1" ht="12" customHeight="1">
      <c r="A232" s="87"/>
      <c r="B232" s="169"/>
      <c r="C232" s="174"/>
      <c r="D232" s="444" t="s">
        <v>903</v>
      </c>
      <c r="E232" s="110">
        <v>1456</v>
      </c>
      <c r="F232" s="78">
        <f t="shared" si="7"/>
        <v>1456</v>
      </c>
      <c r="G232" s="110"/>
      <c r="H232" s="110"/>
      <c r="I232" s="110">
        <v>1456</v>
      </c>
      <c r="J232" s="110"/>
      <c r="K232" s="110"/>
      <c r="L232" s="110"/>
      <c r="M232" s="110"/>
      <c r="N232" s="110"/>
      <c r="O232" s="111"/>
    </row>
    <row r="233" spans="1:15" s="42" customFormat="1" ht="12" customHeight="1">
      <c r="A233" s="87"/>
      <c r="B233" s="169"/>
      <c r="C233" s="174"/>
      <c r="D233" s="444" t="s">
        <v>386</v>
      </c>
      <c r="E233" s="110">
        <v>1456</v>
      </c>
      <c r="F233" s="78">
        <f t="shared" si="7"/>
        <v>1103</v>
      </c>
      <c r="G233" s="110"/>
      <c r="H233" s="110"/>
      <c r="I233" s="110">
        <v>1103</v>
      </c>
      <c r="J233" s="110"/>
      <c r="K233" s="110"/>
      <c r="L233" s="110"/>
      <c r="M233" s="110"/>
      <c r="N233" s="110"/>
      <c r="O233" s="111"/>
    </row>
    <row r="234" spans="1:15" s="40" customFormat="1" ht="12" customHeight="1">
      <c r="A234" s="87"/>
      <c r="B234" s="1097" t="s">
        <v>216</v>
      </c>
      <c r="C234" s="1104"/>
      <c r="D234" s="117" t="s">
        <v>516</v>
      </c>
      <c r="E234" s="110">
        <v>571</v>
      </c>
      <c r="F234" s="78">
        <f t="shared" si="7"/>
        <v>571</v>
      </c>
      <c r="G234" s="110"/>
      <c r="H234" s="110"/>
      <c r="I234" s="110">
        <v>571</v>
      </c>
      <c r="J234" s="110"/>
      <c r="K234" s="110"/>
      <c r="L234" s="110"/>
      <c r="M234" s="110"/>
      <c r="N234" s="110"/>
      <c r="O234" s="111"/>
    </row>
    <row r="235" spans="1:15" s="40" customFormat="1" ht="12" customHeight="1">
      <c r="A235" s="87"/>
      <c r="B235" s="169"/>
      <c r="C235" s="174"/>
      <c r="D235" s="444" t="s">
        <v>903</v>
      </c>
      <c r="E235" s="110">
        <v>1294</v>
      </c>
      <c r="F235" s="78">
        <f t="shared" si="7"/>
        <v>1294</v>
      </c>
      <c r="G235" s="110"/>
      <c r="H235" s="110"/>
      <c r="I235" s="110">
        <v>1284</v>
      </c>
      <c r="J235" s="110">
        <v>10</v>
      </c>
      <c r="K235" s="110"/>
      <c r="L235" s="110"/>
      <c r="M235" s="110"/>
      <c r="N235" s="110"/>
      <c r="O235" s="111"/>
    </row>
    <row r="236" spans="1:15" s="40" customFormat="1" ht="12" customHeight="1">
      <c r="A236" s="87"/>
      <c r="B236" s="169"/>
      <c r="C236" s="174"/>
      <c r="D236" s="444" t="s">
        <v>386</v>
      </c>
      <c r="E236" s="110">
        <v>1295</v>
      </c>
      <c r="F236" s="78">
        <f t="shared" si="7"/>
        <v>1260</v>
      </c>
      <c r="G236" s="110"/>
      <c r="H236" s="110"/>
      <c r="I236" s="110">
        <v>1250</v>
      </c>
      <c r="J236" s="110">
        <v>10</v>
      </c>
      <c r="K236" s="110"/>
      <c r="L236" s="110"/>
      <c r="M236" s="110"/>
      <c r="N236" s="110"/>
      <c r="O236" s="111"/>
    </row>
    <row r="237" spans="1:15" s="40" customFormat="1" ht="12" customHeight="1">
      <c r="A237" s="87"/>
      <c r="B237" s="1097" t="s">
        <v>217</v>
      </c>
      <c r="C237" s="1098"/>
      <c r="D237" s="117" t="s">
        <v>516</v>
      </c>
      <c r="E237" s="110">
        <v>571</v>
      </c>
      <c r="F237" s="78">
        <f t="shared" si="7"/>
        <v>571</v>
      </c>
      <c r="G237" s="110"/>
      <c r="H237" s="110"/>
      <c r="I237" s="110">
        <v>571</v>
      </c>
      <c r="J237" s="110"/>
      <c r="K237" s="110"/>
      <c r="L237" s="110"/>
      <c r="M237" s="110"/>
      <c r="N237" s="110"/>
      <c r="O237" s="111"/>
    </row>
    <row r="238" spans="1:15" s="40" customFormat="1" ht="12" customHeight="1">
      <c r="A238" s="103"/>
      <c r="B238" s="169"/>
      <c r="C238" s="170"/>
      <c r="D238" s="444" t="s">
        <v>903</v>
      </c>
      <c r="E238" s="110">
        <v>882</v>
      </c>
      <c r="F238" s="110">
        <f t="shared" si="7"/>
        <v>882</v>
      </c>
      <c r="G238" s="110"/>
      <c r="H238" s="110"/>
      <c r="I238" s="110">
        <v>882</v>
      </c>
      <c r="J238" s="110"/>
      <c r="K238" s="110"/>
      <c r="L238" s="110"/>
      <c r="M238" s="110"/>
      <c r="N238" s="110"/>
      <c r="O238" s="111"/>
    </row>
    <row r="239" spans="1:15" s="40" customFormat="1" ht="12" customHeight="1">
      <c r="A239" s="103"/>
      <c r="B239" s="169"/>
      <c r="C239" s="170"/>
      <c r="D239" s="444" t="s">
        <v>386</v>
      </c>
      <c r="E239" s="110">
        <v>882</v>
      </c>
      <c r="F239" s="110">
        <f t="shared" si="7"/>
        <v>847</v>
      </c>
      <c r="G239" s="110"/>
      <c r="H239" s="110"/>
      <c r="I239" s="110">
        <v>847</v>
      </c>
      <c r="J239" s="110"/>
      <c r="K239" s="110"/>
      <c r="L239" s="110"/>
      <c r="M239" s="110"/>
      <c r="N239" s="110"/>
      <c r="O239" s="111"/>
    </row>
    <row r="240" spans="1:15" s="40" customFormat="1" ht="12" customHeight="1">
      <c r="A240" s="1105" t="s">
        <v>218</v>
      </c>
      <c r="B240" s="1110"/>
      <c r="C240" s="1111"/>
      <c r="D240" s="119" t="s">
        <v>516</v>
      </c>
      <c r="E240" s="112">
        <f aca="true" t="shared" si="8" ref="E240:O240">SUM(E231+E234+E237)</f>
        <v>1713</v>
      </c>
      <c r="F240" s="112">
        <f t="shared" si="8"/>
        <v>1713</v>
      </c>
      <c r="G240" s="112">
        <f t="shared" si="8"/>
        <v>0</v>
      </c>
      <c r="H240" s="112">
        <f t="shared" si="8"/>
        <v>0</v>
      </c>
      <c r="I240" s="112">
        <f t="shared" si="8"/>
        <v>1713</v>
      </c>
      <c r="J240" s="112">
        <f t="shared" si="8"/>
        <v>0</v>
      </c>
      <c r="K240" s="112">
        <f t="shared" si="8"/>
        <v>0</v>
      </c>
      <c r="L240" s="112">
        <f t="shared" si="8"/>
        <v>0</v>
      </c>
      <c r="M240" s="112">
        <f t="shared" si="8"/>
        <v>0</v>
      </c>
      <c r="N240" s="112">
        <f t="shared" si="8"/>
        <v>0</v>
      </c>
      <c r="O240" s="106">
        <f t="shared" si="8"/>
        <v>0</v>
      </c>
    </row>
    <row r="241" spans="1:15" s="40" customFormat="1" ht="12" customHeight="1">
      <c r="A241" s="122"/>
      <c r="B241" s="121"/>
      <c r="C241" s="113"/>
      <c r="D241" s="443" t="s">
        <v>903</v>
      </c>
      <c r="E241" s="112">
        <f aca="true" t="shared" si="9" ref="E241:O242">SUM(E232+E235+E238)</f>
        <v>3632</v>
      </c>
      <c r="F241" s="112">
        <f t="shared" si="9"/>
        <v>3632</v>
      </c>
      <c r="G241" s="112">
        <f t="shared" si="9"/>
        <v>0</v>
      </c>
      <c r="H241" s="112">
        <f t="shared" si="9"/>
        <v>0</v>
      </c>
      <c r="I241" s="112">
        <f t="shared" si="9"/>
        <v>3622</v>
      </c>
      <c r="J241" s="112">
        <f t="shared" si="9"/>
        <v>10</v>
      </c>
      <c r="K241" s="112">
        <f t="shared" si="9"/>
        <v>0</v>
      </c>
      <c r="L241" s="112">
        <f t="shared" si="9"/>
        <v>0</v>
      </c>
      <c r="M241" s="112">
        <f t="shared" si="9"/>
        <v>0</v>
      </c>
      <c r="N241" s="112">
        <f t="shared" si="9"/>
        <v>0</v>
      </c>
      <c r="O241" s="114">
        <f t="shared" si="9"/>
        <v>0</v>
      </c>
    </row>
    <row r="242" spans="1:15" ht="12" customHeight="1">
      <c r="A242" s="122"/>
      <c r="B242" s="121"/>
      <c r="C242" s="113"/>
      <c r="D242" s="443" t="s">
        <v>386</v>
      </c>
      <c r="E242" s="112">
        <f t="shared" si="9"/>
        <v>3633</v>
      </c>
      <c r="F242" s="112">
        <f t="shared" si="9"/>
        <v>3210</v>
      </c>
      <c r="G242" s="112">
        <f t="shared" si="9"/>
        <v>0</v>
      </c>
      <c r="H242" s="112">
        <f t="shared" si="9"/>
        <v>0</v>
      </c>
      <c r="I242" s="112">
        <f t="shared" si="9"/>
        <v>3200</v>
      </c>
      <c r="J242" s="112">
        <f t="shared" si="9"/>
        <v>10</v>
      </c>
      <c r="K242" s="112">
        <f t="shared" si="9"/>
        <v>0</v>
      </c>
      <c r="L242" s="112">
        <f t="shared" si="9"/>
        <v>0</v>
      </c>
      <c r="M242" s="112">
        <f t="shared" si="9"/>
        <v>0</v>
      </c>
      <c r="N242" s="112">
        <f t="shared" si="9"/>
        <v>0</v>
      </c>
      <c r="O242" s="112">
        <f t="shared" si="9"/>
        <v>0</v>
      </c>
    </row>
    <row r="243" spans="1:15" ht="12" customHeight="1">
      <c r="A243" s="1105" t="s">
        <v>1283</v>
      </c>
      <c r="B243" s="1110"/>
      <c r="C243" s="1111"/>
      <c r="D243" s="119" t="s">
        <v>512</v>
      </c>
      <c r="E243" s="373">
        <f aca="true" t="shared" si="10" ref="E243:O243">SUM(E222+E226+E240)</f>
        <v>6221470</v>
      </c>
      <c r="F243" s="373">
        <f t="shared" si="10"/>
        <v>4765926</v>
      </c>
      <c r="G243" s="373">
        <f t="shared" si="10"/>
        <v>458904</v>
      </c>
      <c r="H243" s="373">
        <f t="shared" si="10"/>
        <v>144793</v>
      </c>
      <c r="I243" s="373">
        <f t="shared" si="10"/>
        <v>830087</v>
      </c>
      <c r="J243" s="373">
        <f t="shared" si="10"/>
        <v>415973</v>
      </c>
      <c r="K243" s="373">
        <f t="shared" si="10"/>
        <v>159000</v>
      </c>
      <c r="L243" s="373">
        <f t="shared" si="10"/>
        <v>182906</v>
      </c>
      <c r="M243" s="373">
        <f t="shared" si="10"/>
        <v>1076859</v>
      </c>
      <c r="N243" s="373">
        <f t="shared" si="10"/>
        <v>26473</v>
      </c>
      <c r="O243" s="374">
        <f t="shared" si="10"/>
        <v>1470931</v>
      </c>
    </row>
    <row r="244" spans="1:15" ht="12.75">
      <c r="A244" s="476"/>
      <c r="B244" s="240"/>
      <c r="C244" s="240"/>
      <c r="D244" s="477" t="s">
        <v>903</v>
      </c>
      <c r="E244" s="478">
        <f aca="true" t="shared" si="11" ref="E244:O244">SUM(E223+E227+E241)</f>
        <v>7288945</v>
      </c>
      <c r="F244" s="478">
        <f t="shared" si="11"/>
        <v>5724821</v>
      </c>
      <c r="G244" s="478">
        <f t="shared" si="11"/>
        <v>524517</v>
      </c>
      <c r="H244" s="478">
        <f t="shared" si="11"/>
        <v>157159</v>
      </c>
      <c r="I244" s="478">
        <f t="shared" si="11"/>
        <v>935965</v>
      </c>
      <c r="J244" s="478">
        <f t="shared" si="11"/>
        <v>1000062</v>
      </c>
      <c r="K244" s="478">
        <f t="shared" si="11"/>
        <v>151549</v>
      </c>
      <c r="L244" s="478">
        <f t="shared" si="11"/>
        <v>400702</v>
      </c>
      <c r="M244" s="478">
        <f t="shared" si="11"/>
        <v>1781565</v>
      </c>
      <c r="N244" s="478">
        <f t="shared" si="11"/>
        <v>55112</v>
      </c>
      <c r="O244" s="479">
        <f t="shared" si="11"/>
        <v>718190</v>
      </c>
    </row>
    <row r="245" spans="1:15" ht="13.5" thickBot="1">
      <c r="A245" s="441"/>
      <c r="B245" s="188"/>
      <c r="C245" s="188"/>
      <c r="D245" s="445" t="s">
        <v>386</v>
      </c>
      <c r="E245" s="791">
        <f>SUM(E224+E228+E242)</f>
        <v>7210161</v>
      </c>
      <c r="F245" s="791">
        <f aca="true" t="shared" si="12" ref="F245:O245">SUM(F224+F228+F242)</f>
        <v>3240067</v>
      </c>
      <c r="G245" s="791">
        <f t="shared" si="12"/>
        <v>503220</v>
      </c>
      <c r="H245" s="791">
        <f t="shared" si="12"/>
        <v>147997</v>
      </c>
      <c r="I245" s="791">
        <f t="shared" si="12"/>
        <v>846853</v>
      </c>
      <c r="J245" s="791">
        <f t="shared" si="12"/>
        <v>855958</v>
      </c>
      <c r="K245" s="791">
        <f t="shared" si="12"/>
        <v>145910</v>
      </c>
      <c r="L245" s="791">
        <f t="shared" si="12"/>
        <v>163235</v>
      </c>
      <c r="M245" s="791">
        <f t="shared" si="12"/>
        <v>549111</v>
      </c>
      <c r="N245" s="791">
        <f t="shared" si="12"/>
        <v>27783</v>
      </c>
      <c r="O245" s="792">
        <f t="shared" si="12"/>
        <v>0</v>
      </c>
    </row>
    <row r="246" ht="13.5" thickTop="1"/>
  </sheetData>
  <mergeCells count="121">
    <mergeCell ref="E189:E191"/>
    <mergeCell ref="F189:F191"/>
    <mergeCell ref="N189:N191"/>
    <mergeCell ref="O189:O191"/>
    <mergeCell ref="G190:G191"/>
    <mergeCell ref="H190:H191"/>
    <mergeCell ref="I190:I191"/>
    <mergeCell ref="J190:J191"/>
    <mergeCell ref="K190:K191"/>
    <mergeCell ref="L190:L191"/>
    <mergeCell ref="E126:E128"/>
    <mergeCell ref="F126:F128"/>
    <mergeCell ref="N126:N128"/>
    <mergeCell ref="G127:G128"/>
    <mergeCell ref="H127:H128"/>
    <mergeCell ref="I127:I128"/>
    <mergeCell ref="J127:J128"/>
    <mergeCell ref="K127:K128"/>
    <mergeCell ref="L127:L128"/>
    <mergeCell ref="E63:E65"/>
    <mergeCell ref="F63:F65"/>
    <mergeCell ref="L64:L65"/>
    <mergeCell ref="K64:K65"/>
    <mergeCell ref="G64:G65"/>
    <mergeCell ref="H64:H65"/>
    <mergeCell ref="I64:I65"/>
    <mergeCell ref="J64:J65"/>
    <mergeCell ref="B27:C27"/>
    <mergeCell ref="B42:C42"/>
    <mergeCell ref="B45:C45"/>
    <mergeCell ref="B93:C93"/>
    <mergeCell ref="B78:C78"/>
    <mergeCell ref="B81:C81"/>
    <mergeCell ref="B84:C84"/>
    <mergeCell ref="B75:C75"/>
    <mergeCell ref="B33:C33"/>
    <mergeCell ref="B36:C36"/>
    <mergeCell ref="G7:G8"/>
    <mergeCell ref="H7:H8"/>
    <mergeCell ref="I7:I8"/>
    <mergeCell ref="B219:C219"/>
    <mergeCell ref="B9:C9"/>
    <mergeCell ref="B12:C12"/>
    <mergeCell ref="B15:C15"/>
    <mergeCell ref="B18:C18"/>
    <mergeCell ref="B21:C21"/>
    <mergeCell ref="B24:C24"/>
    <mergeCell ref="B39:C39"/>
    <mergeCell ref="A3:O3"/>
    <mergeCell ref="A6:D8"/>
    <mergeCell ref="E6:E8"/>
    <mergeCell ref="F6:F8"/>
    <mergeCell ref="L7:L8"/>
    <mergeCell ref="M7:M8"/>
    <mergeCell ref="A4:O4"/>
    <mergeCell ref="B30:C30"/>
    <mergeCell ref="O6:O8"/>
    <mergeCell ref="B60:C60"/>
    <mergeCell ref="B66:C66"/>
    <mergeCell ref="B51:C51"/>
    <mergeCell ref="B54:C54"/>
    <mergeCell ref="B57:C57"/>
    <mergeCell ref="A63:D65"/>
    <mergeCell ref="B171:C171"/>
    <mergeCell ref="B174:C174"/>
    <mergeCell ref="B177:C177"/>
    <mergeCell ref="B114:C114"/>
    <mergeCell ref="B117:C117"/>
    <mergeCell ref="B120:C120"/>
    <mergeCell ref="B123:C123"/>
    <mergeCell ref="B132:C132"/>
    <mergeCell ref="B144:C144"/>
    <mergeCell ref="A126:D128"/>
    <mergeCell ref="B192:C192"/>
    <mergeCell ref="B195:C195"/>
    <mergeCell ref="B198:C198"/>
    <mergeCell ref="B180:C180"/>
    <mergeCell ref="B183:C183"/>
    <mergeCell ref="B186:C186"/>
    <mergeCell ref="A189:D191"/>
    <mergeCell ref="B210:C210"/>
    <mergeCell ref="B213:C213"/>
    <mergeCell ref="B216:C216"/>
    <mergeCell ref="B201:C201"/>
    <mergeCell ref="B204:C204"/>
    <mergeCell ref="B207:C207"/>
    <mergeCell ref="A240:C240"/>
    <mergeCell ref="A243:C243"/>
    <mergeCell ref="B234:C234"/>
    <mergeCell ref="B237:C237"/>
    <mergeCell ref="A230:C230"/>
    <mergeCell ref="B231:C231"/>
    <mergeCell ref="A222:C222"/>
    <mergeCell ref="A226:C226"/>
    <mergeCell ref="B168:C168"/>
    <mergeCell ref="B156:C156"/>
    <mergeCell ref="B159:C159"/>
    <mergeCell ref="B150:C150"/>
    <mergeCell ref="B153:C153"/>
    <mergeCell ref="B162:C162"/>
    <mergeCell ref="B165:C165"/>
    <mergeCell ref="B147:C147"/>
    <mergeCell ref="B105:C105"/>
    <mergeCell ref="B108:C108"/>
    <mergeCell ref="B111:C111"/>
    <mergeCell ref="B96:C96"/>
    <mergeCell ref="B99:C99"/>
    <mergeCell ref="B102:C102"/>
    <mergeCell ref="N6:N8"/>
    <mergeCell ref="J7:J8"/>
    <mergeCell ref="K7:K8"/>
    <mergeCell ref="B72:C72"/>
    <mergeCell ref="B87:C87"/>
    <mergeCell ref="B90:C90"/>
    <mergeCell ref="B48:C48"/>
    <mergeCell ref="O126:O128"/>
    <mergeCell ref="M127:M128"/>
    <mergeCell ref="M190:M191"/>
    <mergeCell ref="N63:N65"/>
    <mergeCell ref="O63:O65"/>
    <mergeCell ref="M64:M65"/>
  </mergeCells>
  <printOptions/>
  <pageMargins left="0.2" right="0.17" top="0.17" bottom="0.16" header="0.17" footer="0.16"/>
  <pageSetup horizontalDpi="600" verticalDpi="600" orientation="landscape" paperSize="9" scale="73" r:id="rId1"/>
  <rowBreaks count="3" manualBreakCount="3">
    <brk id="62" max="255" man="1"/>
    <brk id="125" max="255" man="1"/>
    <brk id="18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125"/>
  <sheetViews>
    <sheetView workbookViewId="0" topLeftCell="A46">
      <selection activeCell="D58" sqref="D58"/>
    </sheetView>
  </sheetViews>
  <sheetFormatPr defaultColWidth="9.00390625" defaultRowHeight="12.75"/>
  <cols>
    <col min="1" max="1" width="20.75390625" style="388" customWidth="1"/>
    <col min="2" max="2" width="10.125" style="389" customWidth="1"/>
    <col min="3" max="3" width="11.75390625" style="386" customWidth="1"/>
    <col min="4" max="4" width="10.375" style="386" customWidth="1"/>
    <col min="5" max="5" width="9.25390625" style="386" customWidth="1"/>
    <col min="6" max="11" width="8.625" style="386" customWidth="1"/>
    <col min="12" max="12" width="12.25390625" style="386" customWidth="1"/>
    <col min="13" max="13" width="7.875" style="386" customWidth="1"/>
    <col min="14" max="14" width="11.625" style="387" customWidth="1"/>
    <col min="15" max="15" width="20.875" style="387" customWidth="1"/>
    <col min="16" max="16" width="11.625" style="387" customWidth="1"/>
    <col min="17" max="17" width="10.875" style="386" customWidth="1"/>
    <col min="18" max="18" width="10.125" style="386" customWidth="1"/>
    <col min="19" max="19" width="10.875" style="390" customWidth="1"/>
    <col min="20" max="20" width="13.875" style="390" customWidth="1"/>
    <col min="21" max="23" width="8.75390625" style="390" customWidth="1"/>
    <col min="24" max="24" width="9.25390625" style="390" customWidth="1"/>
    <col min="25" max="25" width="11.75390625" style="387" customWidth="1"/>
    <col min="26" max="26" width="9.125" style="390" customWidth="1"/>
    <col min="27" max="16384" width="9.125" style="386" customWidth="1"/>
  </cols>
  <sheetData>
    <row r="1" spans="1:30" ht="20.25" customHeight="1" thickBot="1">
      <c r="A1" s="1137" t="s">
        <v>390</v>
      </c>
      <c r="B1" s="1137"/>
      <c r="C1" s="1137"/>
      <c r="D1" s="1137"/>
      <c r="E1" s="1137"/>
      <c r="F1" s="1137"/>
      <c r="G1" s="1137"/>
      <c r="H1" s="1137"/>
      <c r="I1" s="1137"/>
      <c r="J1" s="1137"/>
      <c r="K1" s="1137"/>
      <c r="L1" s="1137"/>
      <c r="M1" s="1137"/>
      <c r="N1" s="1137"/>
      <c r="O1" s="1138" t="s">
        <v>1049</v>
      </c>
      <c r="P1" s="1139"/>
      <c r="Q1" s="1139"/>
      <c r="R1" s="1139"/>
      <c r="S1" s="1139"/>
      <c r="T1" s="1139"/>
      <c r="U1" s="1139"/>
      <c r="V1" s="1139"/>
      <c r="W1" s="1139"/>
      <c r="X1" s="1139"/>
      <c r="Y1" s="1139"/>
      <c r="Z1" s="481"/>
      <c r="AA1" s="482"/>
      <c r="AB1" s="482"/>
      <c r="AC1" s="482"/>
      <c r="AD1" s="482"/>
    </row>
    <row r="2" spans="1:26" s="484" customFormat="1" ht="24" customHeight="1" thickTop="1">
      <c r="A2" s="1140" t="s">
        <v>1050</v>
      </c>
      <c r="B2" s="1141"/>
      <c r="C2" s="1141" t="s">
        <v>1051</v>
      </c>
      <c r="D2" s="1144" t="s">
        <v>1052</v>
      </c>
      <c r="E2" s="1141" t="s">
        <v>1053</v>
      </c>
      <c r="F2" s="1146" t="s">
        <v>1054</v>
      </c>
      <c r="G2" s="1146" t="s">
        <v>1055</v>
      </c>
      <c r="H2" s="1146"/>
      <c r="I2" s="1146" t="s">
        <v>1056</v>
      </c>
      <c r="J2" s="1146"/>
      <c r="K2" s="1146" t="s">
        <v>1057</v>
      </c>
      <c r="L2" s="1146" t="s">
        <v>1058</v>
      </c>
      <c r="M2" s="1146"/>
      <c r="N2" s="1148" t="s">
        <v>1059</v>
      </c>
      <c r="O2" s="1153" t="s">
        <v>1050</v>
      </c>
      <c r="P2" s="1154"/>
      <c r="Q2" s="1157" t="s">
        <v>1336</v>
      </c>
      <c r="R2" s="1157"/>
      <c r="S2" s="1157"/>
      <c r="T2" s="1157"/>
      <c r="U2" s="1157"/>
      <c r="V2" s="1157"/>
      <c r="W2" s="1157" t="s">
        <v>511</v>
      </c>
      <c r="X2" s="1157"/>
      <c r="Y2" s="1148" t="s">
        <v>1060</v>
      </c>
      <c r="Z2" s="483"/>
    </row>
    <row r="3" spans="1:26" s="486" customFormat="1" ht="51" customHeight="1">
      <c r="A3" s="1142"/>
      <c r="B3" s="1143"/>
      <c r="C3" s="1143"/>
      <c r="D3" s="1145"/>
      <c r="E3" s="1143"/>
      <c r="F3" s="1147"/>
      <c r="G3" s="757" t="s">
        <v>1061</v>
      </c>
      <c r="H3" s="757" t="s">
        <v>409</v>
      </c>
      <c r="I3" s="757" t="s">
        <v>1061</v>
      </c>
      <c r="J3" s="757" t="s">
        <v>409</v>
      </c>
      <c r="K3" s="1147"/>
      <c r="L3" s="757" t="s">
        <v>410</v>
      </c>
      <c r="M3" s="757" t="s">
        <v>411</v>
      </c>
      <c r="N3" s="1149"/>
      <c r="O3" s="1155"/>
      <c r="P3" s="1156"/>
      <c r="Q3" s="758" t="s">
        <v>1323</v>
      </c>
      <c r="R3" s="758" t="s">
        <v>412</v>
      </c>
      <c r="S3" s="758" t="s">
        <v>413</v>
      </c>
      <c r="T3" s="758" t="s">
        <v>414</v>
      </c>
      <c r="U3" s="758" t="s">
        <v>415</v>
      </c>
      <c r="V3" s="758" t="s">
        <v>416</v>
      </c>
      <c r="W3" s="758" t="s">
        <v>1311</v>
      </c>
      <c r="X3" s="758" t="s">
        <v>1330</v>
      </c>
      <c r="Y3" s="1149"/>
      <c r="Z3" s="485"/>
    </row>
    <row r="4" spans="1:26" ht="12" customHeight="1">
      <c r="A4" s="1150" t="s">
        <v>996</v>
      </c>
      <c r="B4" s="487" t="s">
        <v>512</v>
      </c>
      <c r="C4" s="488">
        <v>5925</v>
      </c>
      <c r="D4" s="488">
        <v>4057</v>
      </c>
      <c r="E4" s="488">
        <v>1185</v>
      </c>
      <c r="F4" s="488"/>
      <c r="G4" s="488"/>
      <c r="H4" s="488"/>
      <c r="I4" s="488"/>
      <c r="J4" s="488"/>
      <c r="K4" s="488"/>
      <c r="L4" s="488"/>
      <c r="M4" s="488"/>
      <c r="N4" s="489">
        <f aca="true" t="shared" si="0" ref="N4:N20">SUM(C4:M4)-D4</f>
        <v>7110</v>
      </c>
      <c r="O4" s="1150" t="s">
        <v>996</v>
      </c>
      <c r="P4" s="487" t="s">
        <v>512</v>
      </c>
      <c r="Q4" s="490">
        <v>37574</v>
      </c>
      <c r="R4" s="490">
        <v>11864</v>
      </c>
      <c r="S4" s="488">
        <v>12278</v>
      </c>
      <c r="T4" s="488">
        <v>4846</v>
      </c>
      <c r="U4" s="488"/>
      <c r="V4" s="488"/>
      <c r="W4" s="488"/>
      <c r="X4" s="488">
        <v>1100</v>
      </c>
      <c r="Y4" s="489">
        <f aca="true" t="shared" si="1" ref="Y4:Y34">SUM(Q4:X4)-T4</f>
        <v>62816</v>
      </c>
      <c r="Z4" s="491"/>
    </row>
    <row r="5" spans="1:26" ht="12" customHeight="1">
      <c r="A5" s="1151"/>
      <c r="B5" s="487" t="s">
        <v>63</v>
      </c>
      <c r="C5" s="488">
        <v>5925</v>
      </c>
      <c r="D5" s="488">
        <v>4057</v>
      </c>
      <c r="E5" s="488">
        <v>1185</v>
      </c>
      <c r="F5" s="488"/>
      <c r="G5" s="488"/>
      <c r="H5" s="488"/>
      <c r="I5" s="488"/>
      <c r="J5" s="488"/>
      <c r="K5" s="488"/>
      <c r="L5" s="488">
        <v>924</v>
      </c>
      <c r="M5" s="488"/>
      <c r="N5" s="489">
        <f t="shared" si="0"/>
        <v>8034</v>
      </c>
      <c r="O5" s="1151"/>
      <c r="P5" s="487" t="s">
        <v>63</v>
      </c>
      <c r="Q5" s="490">
        <f>38734+210+412+50</f>
        <v>39406</v>
      </c>
      <c r="R5" s="490">
        <f>12236+132+18</f>
        <v>12386</v>
      </c>
      <c r="S5" s="488">
        <f>12278+587+150</f>
        <v>13015</v>
      </c>
      <c r="T5" s="488">
        <v>4846</v>
      </c>
      <c r="U5" s="488"/>
      <c r="V5" s="488"/>
      <c r="W5" s="488"/>
      <c r="X5" s="488">
        <v>1100</v>
      </c>
      <c r="Y5" s="489">
        <f t="shared" si="1"/>
        <v>65907</v>
      </c>
      <c r="Z5" s="491"/>
    </row>
    <row r="6" spans="1:26" ht="12" customHeight="1">
      <c r="A6" s="1151"/>
      <c r="B6" s="487" t="s">
        <v>1088</v>
      </c>
      <c r="C6" s="488">
        <v>5925</v>
      </c>
      <c r="D6" s="488">
        <v>4057</v>
      </c>
      <c r="E6" s="488">
        <v>1185</v>
      </c>
      <c r="F6" s="488"/>
      <c r="G6" s="488"/>
      <c r="H6" s="488"/>
      <c r="I6" s="488"/>
      <c r="J6" s="488"/>
      <c r="K6" s="488"/>
      <c r="L6" s="488">
        <v>924</v>
      </c>
      <c r="M6" s="488"/>
      <c r="N6" s="489">
        <f t="shared" si="0"/>
        <v>8034</v>
      </c>
      <c r="O6" s="1151"/>
      <c r="P6" s="487" t="s">
        <v>1088</v>
      </c>
      <c r="Q6" s="490">
        <f>38734+210+412+50+692+256-692</f>
        <v>39662</v>
      </c>
      <c r="R6" s="490">
        <f>12236+132+18+221-256-221</f>
        <v>12130</v>
      </c>
      <c r="S6" s="488">
        <f>12278+587+150-120+899</f>
        <v>13794</v>
      </c>
      <c r="T6" s="488">
        <v>4846</v>
      </c>
      <c r="U6" s="488"/>
      <c r="V6" s="488"/>
      <c r="W6" s="488"/>
      <c r="X6" s="488">
        <f>1100+120</f>
        <v>1220</v>
      </c>
      <c r="Y6" s="489">
        <f t="shared" si="1"/>
        <v>66806</v>
      </c>
      <c r="Z6" s="491"/>
    </row>
    <row r="7" spans="1:26" ht="12" customHeight="1">
      <c r="A7" s="1151"/>
      <c r="B7" s="487" t="s">
        <v>417</v>
      </c>
      <c r="C7" s="488">
        <f>5925+240</f>
        <v>6165</v>
      </c>
      <c r="D7" s="488">
        <v>4057</v>
      </c>
      <c r="E7" s="488">
        <v>1185</v>
      </c>
      <c r="F7" s="488"/>
      <c r="G7" s="488"/>
      <c r="H7" s="488"/>
      <c r="I7" s="488"/>
      <c r="J7" s="488"/>
      <c r="K7" s="488"/>
      <c r="L7" s="488">
        <v>924</v>
      </c>
      <c r="M7" s="488"/>
      <c r="N7" s="489">
        <f t="shared" si="0"/>
        <v>8274</v>
      </c>
      <c r="O7" s="1151"/>
      <c r="P7" s="487" t="s">
        <v>417</v>
      </c>
      <c r="Q7" s="490">
        <f>38734+210+412+50+692+256-692+405</f>
        <v>40067</v>
      </c>
      <c r="R7" s="490">
        <f>12236+132+18+221-256-221-96-52</f>
        <v>11982</v>
      </c>
      <c r="S7" s="488">
        <f>12278+587+150-120+899+240+935+52</f>
        <v>15021</v>
      </c>
      <c r="T7" s="488">
        <v>4846</v>
      </c>
      <c r="U7" s="488"/>
      <c r="V7" s="488"/>
      <c r="W7" s="488"/>
      <c r="X7" s="488">
        <f>1100+120</f>
        <v>1220</v>
      </c>
      <c r="Y7" s="489">
        <f t="shared" si="1"/>
        <v>68290</v>
      </c>
      <c r="Z7" s="491"/>
    </row>
    <row r="8" spans="1:26" ht="12" customHeight="1">
      <c r="A8" s="1152"/>
      <c r="B8" s="487" t="s">
        <v>386</v>
      </c>
      <c r="C8" s="488">
        <v>6968</v>
      </c>
      <c r="D8" s="488">
        <v>4358</v>
      </c>
      <c r="E8" s="488">
        <v>1542</v>
      </c>
      <c r="F8" s="488"/>
      <c r="G8" s="488"/>
      <c r="H8" s="488"/>
      <c r="I8" s="488"/>
      <c r="J8" s="488"/>
      <c r="K8" s="488"/>
      <c r="L8" s="488">
        <v>924</v>
      </c>
      <c r="M8" s="488"/>
      <c r="N8" s="489">
        <f t="shared" si="0"/>
        <v>9434</v>
      </c>
      <c r="O8" s="1152"/>
      <c r="P8" s="487" t="s">
        <v>386</v>
      </c>
      <c r="Q8" s="490">
        <v>40067</v>
      </c>
      <c r="R8" s="490">
        <v>11982</v>
      </c>
      <c r="S8" s="488">
        <v>14965</v>
      </c>
      <c r="T8" s="488">
        <v>5582</v>
      </c>
      <c r="U8" s="488"/>
      <c r="V8" s="488"/>
      <c r="W8" s="488"/>
      <c r="X8" s="488">
        <v>1221</v>
      </c>
      <c r="Y8" s="489">
        <f t="shared" si="1"/>
        <v>68235</v>
      </c>
      <c r="Z8" s="491"/>
    </row>
    <row r="9" spans="1:26" ht="12" customHeight="1">
      <c r="A9" s="1150" t="s">
        <v>997</v>
      </c>
      <c r="B9" s="487" t="s">
        <v>512</v>
      </c>
      <c r="C9" s="488">
        <v>3523</v>
      </c>
      <c r="D9" s="488">
        <v>2823</v>
      </c>
      <c r="E9" s="488">
        <v>705</v>
      </c>
      <c r="F9" s="488"/>
      <c r="G9" s="488"/>
      <c r="H9" s="488"/>
      <c r="I9" s="488"/>
      <c r="J9" s="488"/>
      <c r="K9" s="488"/>
      <c r="L9" s="488"/>
      <c r="M9" s="488"/>
      <c r="N9" s="489">
        <f t="shared" si="0"/>
        <v>4228</v>
      </c>
      <c r="O9" s="1150" t="s">
        <v>997</v>
      </c>
      <c r="P9" s="487" t="s">
        <v>512</v>
      </c>
      <c r="Q9" s="490">
        <v>25681</v>
      </c>
      <c r="R9" s="490">
        <v>8078</v>
      </c>
      <c r="S9" s="488">
        <v>9380</v>
      </c>
      <c r="T9" s="488">
        <v>4325</v>
      </c>
      <c r="U9" s="488"/>
      <c r="V9" s="488"/>
      <c r="W9" s="488">
        <v>2100</v>
      </c>
      <c r="X9" s="488">
        <v>5000</v>
      </c>
      <c r="Y9" s="489">
        <f t="shared" si="1"/>
        <v>50239</v>
      </c>
      <c r="Z9" s="491"/>
    </row>
    <row r="10" spans="1:26" ht="12" customHeight="1">
      <c r="A10" s="1151"/>
      <c r="B10" s="487" t="s">
        <v>63</v>
      </c>
      <c r="C10" s="488">
        <v>3523</v>
      </c>
      <c r="D10" s="488">
        <v>2823</v>
      </c>
      <c r="E10" s="488">
        <v>705</v>
      </c>
      <c r="F10" s="488"/>
      <c r="G10" s="488"/>
      <c r="H10" s="488"/>
      <c r="I10" s="488"/>
      <c r="J10" s="488"/>
      <c r="K10" s="488"/>
      <c r="L10" s="488">
        <v>200</v>
      </c>
      <c r="M10" s="488"/>
      <c r="N10" s="489">
        <f t="shared" si="0"/>
        <v>4428</v>
      </c>
      <c r="O10" s="1151"/>
      <c r="P10" s="487" t="s">
        <v>63</v>
      </c>
      <c r="Q10" s="490">
        <f>26274+100+298+50</f>
        <v>26722</v>
      </c>
      <c r="R10" s="490">
        <f>8268+96+18</f>
        <v>8382</v>
      </c>
      <c r="S10" s="488">
        <f>9380+200+100+100</f>
        <v>9780</v>
      </c>
      <c r="T10" s="488">
        <v>4325</v>
      </c>
      <c r="U10" s="488"/>
      <c r="V10" s="488"/>
      <c r="W10" s="488">
        <v>2100</v>
      </c>
      <c r="X10" s="488">
        <v>5000</v>
      </c>
      <c r="Y10" s="489">
        <f t="shared" si="1"/>
        <v>51984</v>
      </c>
      <c r="Z10" s="491"/>
    </row>
    <row r="11" spans="1:26" ht="12" customHeight="1">
      <c r="A11" s="1151"/>
      <c r="B11" s="487" t="s">
        <v>1088</v>
      </c>
      <c r="C11" s="488">
        <v>3523</v>
      </c>
      <c r="D11" s="488">
        <v>2823</v>
      </c>
      <c r="E11" s="488">
        <v>705</v>
      </c>
      <c r="F11" s="488"/>
      <c r="G11" s="488"/>
      <c r="H11" s="488"/>
      <c r="I11" s="488"/>
      <c r="J11" s="488"/>
      <c r="K11" s="488"/>
      <c r="L11" s="488">
        <v>200</v>
      </c>
      <c r="M11" s="488"/>
      <c r="N11" s="489">
        <f t="shared" si="0"/>
        <v>4428</v>
      </c>
      <c r="O11" s="1151"/>
      <c r="P11" s="487" t="s">
        <v>1088</v>
      </c>
      <c r="Q11" s="490">
        <f>26274+100+298+50+174</f>
        <v>26896</v>
      </c>
      <c r="R11" s="490">
        <f>8268+96+18-174</f>
        <v>8208</v>
      </c>
      <c r="S11" s="488">
        <f>9380+200+100+100+898</f>
        <v>10678</v>
      </c>
      <c r="T11" s="488">
        <v>4325</v>
      </c>
      <c r="U11" s="488"/>
      <c r="V11" s="488"/>
      <c r="W11" s="488">
        <v>2100</v>
      </c>
      <c r="X11" s="488">
        <f>5000+88+250</f>
        <v>5338</v>
      </c>
      <c r="Y11" s="489">
        <f t="shared" si="1"/>
        <v>53220</v>
      </c>
      <c r="Z11" s="491"/>
    </row>
    <row r="12" spans="1:26" ht="12" customHeight="1">
      <c r="A12" s="1151"/>
      <c r="B12" s="487" t="s">
        <v>417</v>
      </c>
      <c r="C12" s="488">
        <v>3523</v>
      </c>
      <c r="D12" s="488">
        <v>2823</v>
      </c>
      <c r="E12" s="488">
        <v>705</v>
      </c>
      <c r="F12" s="488"/>
      <c r="G12" s="488"/>
      <c r="H12" s="488"/>
      <c r="I12" s="488"/>
      <c r="J12" s="488"/>
      <c r="K12" s="488"/>
      <c r="L12" s="488">
        <v>200</v>
      </c>
      <c r="M12" s="488"/>
      <c r="N12" s="489">
        <f t="shared" si="0"/>
        <v>4428</v>
      </c>
      <c r="O12" s="1151"/>
      <c r="P12" s="487" t="s">
        <v>417</v>
      </c>
      <c r="Q12" s="490">
        <f>26274+100+298+50+174+70</f>
        <v>26966</v>
      </c>
      <c r="R12" s="490">
        <f>8268+96+18-174-70</f>
        <v>8138</v>
      </c>
      <c r="S12" s="488">
        <f>9380+200+100+100+898-500</f>
        <v>10178</v>
      </c>
      <c r="T12" s="488">
        <v>4325</v>
      </c>
      <c r="U12" s="488"/>
      <c r="V12" s="488"/>
      <c r="W12" s="488">
        <f>2100+500</f>
        <v>2600</v>
      </c>
      <c r="X12" s="488">
        <f>5000+88+250</f>
        <v>5338</v>
      </c>
      <c r="Y12" s="489">
        <f t="shared" si="1"/>
        <v>53220</v>
      </c>
      <c r="Z12" s="491"/>
    </row>
    <row r="13" spans="1:26" ht="12" customHeight="1">
      <c r="A13" s="1152"/>
      <c r="B13" s="487" t="s">
        <v>386</v>
      </c>
      <c r="C13" s="488">
        <v>3246</v>
      </c>
      <c r="D13" s="488">
        <v>2368</v>
      </c>
      <c r="E13" s="488">
        <v>704</v>
      </c>
      <c r="F13" s="488"/>
      <c r="G13" s="488"/>
      <c r="H13" s="488"/>
      <c r="I13" s="488"/>
      <c r="J13" s="488"/>
      <c r="K13" s="488"/>
      <c r="L13" s="488">
        <v>200</v>
      </c>
      <c r="M13" s="488"/>
      <c r="N13" s="489">
        <f t="shared" si="0"/>
        <v>4150</v>
      </c>
      <c r="O13" s="1152"/>
      <c r="P13" s="487" t="s">
        <v>386</v>
      </c>
      <c r="Q13" s="490">
        <v>26794</v>
      </c>
      <c r="R13" s="490">
        <v>8019</v>
      </c>
      <c r="S13" s="488">
        <v>8096</v>
      </c>
      <c r="T13" s="488">
        <v>4138</v>
      </c>
      <c r="U13" s="488"/>
      <c r="V13" s="488"/>
      <c r="W13" s="488">
        <v>500</v>
      </c>
      <c r="X13" s="488">
        <v>5338</v>
      </c>
      <c r="Y13" s="489">
        <f t="shared" si="1"/>
        <v>48747</v>
      </c>
      <c r="Z13" s="491"/>
    </row>
    <row r="14" spans="1:26" ht="12" customHeight="1">
      <c r="A14" s="1150" t="s">
        <v>1065</v>
      </c>
      <c r="B14" s="487" t="s">
        <v>512</v>
      </c>
      <c r="C14" s="488">
        <v>1817</v>
      </c>
      <c r="D14" s="488">
        <v>1467</v>
      </c>
      <c r="E14" s="488">
        <v>363</v>
      </c>
      <c r="F14" s="488"/>
      <c r="G14" s="488"/>
      <c r="H14" s="488"/>
      <c r="I14" s="488"/>
      <c r="J14" s="488"/>
      <c r="K14" s="488"/>
      <c r="L14" s="488"/>
      <c r="M14" s="488"/>
      <c r="N14" s="489">
        <f t="shared" si="0"/>
        <v>2180</v>
      </c>
      <c r="O14" s="1150" t="s">
        <v>1065</v>
      </c>
      <c r="P14" s="487" t="s">
        <v>512</v>
      </c>
      <c r="Q14" s="490">
        <v>14977</v>
      </c>
      <c r="R14" s="490">
        <v>4727</v>
      </c>
      <c r="S14" s="488">
        <v>6140</v>
      </c>
      <c r="T14" s="488">
        <v>2108</v>
      </c>
      <c r="U14" s="488"/>
      <c r="V14" s="488"/>
      <c r="W14" s="488"/>
      <c r="X14" s="488"/>
      <c r="Y14" s="489">
        <f t="shared" si="1"/>
        <v>25844</v>
      </c>
      <c r="Z14" s="491"/>
    </row>
    <row r="15" spans="1:26" ht="12" customHeight="1">
      <c r="A15" s="1151"/>
      <c r="B15" s="487" t="s">
        <v>63</v>
      </c>
      <c r="C15" s="488">
        <v>1817</v>
      </c>
      <c r="D15" s="488">
        <v>1467</v>
      </c>
      <c r="E15" s="488">
        <v>363</v>
      </c>
      <c r="F15" s="488"/>
      <c r="G15" s="488"/>
      <c r="H15" s="488"/>
      <c r="I15" s="488"/>
      <c r="J15" s="488"/>
      <c r="K15" s="488"/>
      <c r="L15" s="488">
        <v>380</v>
      </c>
      <c r="M15" s="488"/>
      <c r="N15" s="489">
        <f t="shared" si="0"/>
        <v>2560</v>
      </c>
      <c r="O15" s="1151"/>
      <c r="P15" s="487" t="s">
        <v>63</v>
      </c>
      <c r="Q15" s="490">
        <f>15456+783+155+50+319</f>
        <v>16763</v>
      </c>
      <c r="R15" s="490">
        <f>4880+246+50+18+107</f>
        <v>5301</v>
      </c>
      <c r="S15" s="488">
        <f>6140+174+100</f>
        <v>6414</v>
      </c>
      <c r="T15" s="488">
        <v>2108</v>
      </c>
      <c r="U15" s="488"/>
      <c r="V15" s="488"/>
      <c r="W15" s="488"/>
      <c r="X15" s="488"/>
      <c r="Y15" s="489">
        <f t="shared" si="1"/>
        <v>28478</v>
      </c>
      <c r="Z15" s="491"/>
    </row>
    <row r="16" spans="1:26" ht="12" customHeight="1">
      <c r="A16" s="1151"/>
      <c r="B16" s="487" t="s">
        <v>1088</v>
      </c>
      <c r="C16" s="488">
        <v>1817</v>
      </c>
      <c r="D16" s="488">
        <v>1467</v>
      </c>
      <c r="E16" s="488">
        <v>363</v>
      </c>
      <c r="F16" s="488"/>
      <c r="G16" s="488"/>
      <c r="H16" s="488"/>
      <c r="I16" s="488"/>
      <c r="J16" s="488"/>
      <c r="K16" s="488"/>
      <c r="L16" s="488">
        <v>380</v>
      </c>
      <c r="M16" s="488"/>
      <c r="N16" s="489">
        <f t="shared" si="0"/>
        <v>2560</v>
      </c>
      <c r="O16" s="1151"/>
      <c r="P16" s="487" t="s">
        <v>1088</v>
      </c>
      <c r="Q16" s="490">
        <f>15456+783+155+50+319+82</f>
        <v>16845</v>
      </c>
      <c r="R16" s="490">
        <f>4880+246+50+18+107-82</f>
        <v>5219</v>
      </c>
      <c r="S16" s="488">
        <f>6140+174+100+495</f>
        <v>6909</v>
      </c>
      <c r="T16" s="488">
        <v>2108</v>
      </c>
      <c r="U16" s="488"/>
      <c r="V16" s="488"/>
      <c r="W16" s="488"/>
      <c r="X16" s="488"/>
      <c r="Y16" s="489">
        <f t="shared" si="1"/>
        <v>28973</v>
      </c>
      <c r="Z16" s="491"/>
    </row>
    <row r="17" spans="1:26" ht="12" customHeight="1">
      <c r="A17" s="1151"/>
      <c r="B17" s="487" t="s">
        <v>417</v>
      </c>
      <c r="C17" s="488">
        <v>1817</v>
      </c>
      <c r="D17" s="488">
        <v>1467</v>
      </c>
      <c r="E17" s="488">
        <v>363</v>
      </c>
      <c r="F17" s="488"/>
      <c r="G17" s="488"/>
      <c r="H17" s="488"/>
      <c r="I17" s="488"/>
      <c r="J17" s="488"/>
      <c r="K17" s="488"/>
      <c r="L17" s="488">
        <v>380</v>
      </c>
      <c r="M17" s="488"/>
      <c r="N17" s="489">
        <f t="shared" si="0"/>
        <v>2560</v>
      </c>
      <c r="O17" s="1151"/>
      <c r="P17" s="487" t="s">
        <v>417</v>
      </c>
      <c r="Q17" s="490">
        <f>15456+783+155+50+319+82+30-37</f>
        <v>16838</v>
      </c>
      <c r="R17" s="490">
        <f>4880+246+50+18+107-82-30+37</f>
        <v>5226</v>
      </c>
      <c r="S17" s="488">
        <f>6140+174+100+495-79</f>
        <v>6830</v>
      </c>
      <c r="T17" s="488">
        <v>2108</v>
      </c>
      <c r="U17" s="488"/>
      <c r="V17" s="488"/>
      <c r="W17" s="488">
        <v>79</v>
      </c>
      <c r="X17" s="488"/>
      <c r="Y17" s="489">
        <f t="shared" si="1"/>
        <v>28973</v>
      </c>
      <c r="Z17" s="491"/>
    </row>
    <row r="18" spans="1:26" ht="12" customHeight="1">
      <c r="A18" s="1152"/>
      <c r="B18" s="487" t="s">
        <v>386</v>
      </c>
      <c r="C18" s="488">
        <v>1996</v>
      </c>
      <c r="D18" s="488">
        <v>1463</v>
      </c>
      <c r="E18" s="488">
        <v>439</v>
      </c>
      <c r="F18" s="488"/>
      <c r="G18" s="488"/>
      <c r="H18" s="488"/>
      <c r="I18" s="488"/>
      <c r="J18" s="488"/>
      <c r="K18" s="488"/>
      <c r="L18" s="488">
        <v>380</v>
      </c>
      <c r="M18" s="488"/>
      <c r="N18" s="489">
        <f t="shared" si="0"/>
        <v>2815</v>
      </c>
      <c r="O18" s="1152"/>
      <c r="P18" s="487" t="s">
        <v>386</v>
      </c>
      <c r="Q18" s="490">
        <v>16159</v>
      </c>
      <c r="R18" s="490">
        <v>5226</v>
      </c>
      <c r="S18" s="488">
        <v>5720</v>
      </c>
      <c r="T18" s="488">
        <v>2114</v>
      </c>
      <c r="U18" s="488"/>
      <c r="V18" s="488"/>
      <c r="W18" s="488">
        <v>79</v>
      </c>
      <c r="X18" s="488"/>
      <c r="Y18" s="489">
        <f t="shared" si="1"/>
        <v>27184</v>
      </c>
      <c r="Z18" s="491"/>
    </row>
    <row r="19" spans="1:26" ht="12" customHeight="1">
      <c r="A19" s="1150" t="s">
        <v>998</v>
      </c>
      <c r="B19" s="487" t="s">
        <v>512</v>
      </c>
      <c r="C19" s="488">
        <v>2707</v>
      </c>
      <c r="D19" s="488">
        <v>2206</v>
      </c>
      <c r="E19" s="488">
        <v>541</v>
      </c>
      <c r="F19" s="488"/>
      <c r="G19" s="488"/>
      <c r="H19" s="488"/>
      <c r="I19" s="488"/>
      <c r="J19" s="488"/>
      <c r="K19" s="488"/>
      <c r="L19" s="488"/>
      <c r="M19" s="488"/>
      <c r="N19" s="489">
        <f t="shared" si="0"/>
        <v>3248</v>
      </c>
      <c r="O19" s="1150" t="s">
        <v>998</v>
      </c>
      <c r="P19" s="487" t="s">
        <v>512</v>
      </c>
      <c r="Q19" s="490">
        <v>20995</v>
      </c>
      <c r="R19" s="490">
        <v>6599</v>
      </c>
      <c r="S19" s="488">
        <v>7093</v>
      </c>
      <c r="T19" s="488">
        <v>3066</v>
      </c>
      <c r="U19" s="488"/>
      <c r="V19" s="488"/>
      <c r="W19" s="488"/>
      <c r="X19" s="488"/>
      <c r="Y19" s="489">
        <f t="shared" si="1"/>
        <v>34687</v>
      </c>
      <c r="Z19" s="491"/>
    </row>
    <row r="20" spans="1:26" ht="12" customHeight="1">
      <c r="A20" s="1151"/>
      <c r="B20" s="487" t="s">
        <v>63</v>
      </c>
      <c r="C20" s="488">
        <v>2707</v>
      </c>
      <c r="D20" s="488">
        <v>2206</v>
      </c>
      <c r="E20" s="488">
        <v>541</v>
      </c>
      <c r="F20" s="488"/>
      <c r="G20" s="488"/>
      <c r="H20" s="488"/>
      <c r="I20" s="488"/>
      <c r="J20" s="488"/>
      <c r="K20" s="488"/>
      <c r="L20" s="488">
        <v>124</v>
      </c>
      <c r="M20" s="488"/>
      <c r="N20" s="489">
        <f t="shared" si="0"/>
        <v>3372</v>
      </c>
      <c r="O20" s="1151"/>
      <c r="P20" s="487" t="s">
        <v>63</v>
      </c>
      <c r="Q20" s="490">
        <f>21465+54+240-319</f>
        <v>21440</v>
      </c>
      <c r="R20" s="490">
        <f>6750+76-107</f>
        <v>6719</v>
      </c>
      <c r="S20" s="488">
        <f>7093+100+100+100</f>
        <v>7393</v>
      </c>
      <c r="T20" s="488">
        <v>3066</v>
      </c>
      <c r="U20" s="488"/>
      <c r="V20" s="488"/>
      <c r="W20" s="488"/>
      <c r="X20" s="488"/>
      <c r="Y20" s="489">
        <f t="shared" si="1"/>
        <v>35552</v>
      </c>
      <c r="Z20" s="491"/>
    </row>
    <row r="21" spans="1:26" ht="12" customHeight="1">
      <c r="A21" s="1151"/>
      <c r="B21" s="487" t="s">
        <v>1088</v>
      </c>
      <c r="C21" s="488">
        <v>2707</v>
      </c>
      <c r="D21" s="488">
        <v>2206</v>
      </c>
      <c r="E21" s="488">
        <v>541</v>
      </c>
      <c r="F21" s="488"/>
      <c r="G21" s="488"/>
      <c r="H21" s="488"/>
      <c r="I21" s="488"/>
      <c r="J21" s="488"/>
      <c r="K21" s="488"/>
      <c r="L21" s="488">
        <v>124</v>
      </c>
      <c r="M21" s="488"/>
      <c r="N21" s="489">
        <f>SUM(C21:M21)-M21</f>
        <v>5578</v>
      </c>
      <c r="O21" s="1151"/>
      <c r="P21" s="487" t="s">
        <v>1088</v>
      </c>
      <c r="Q21" s="490">
        <f>21465+54+240-319+113</f>
        <v>21553</v>
      </c>
      <c r="R21" s="490">
        <f>6750+76-107-113</f>
        <v>6606</v>
      </c>
      <c r="S21" s="488">
        <f>7093+100+100+100+880</f>
        <v>8273</v>
      </c>
      <c r="T21" s="488">
        <v>3066</v>
      </c>
      <c r="U21" s="488"/>
      <c r="V21" s="488"/>
      <c r="W21" s="488"/>
      <c r="X21" s="488"/>
      <c r="Y21" s="489">
        <f t="shared" si="1"/>
        <v>36432</v>
      </c>
      <c r="Z21" s="491"/>
    </row>
    <row r="22" spans="1:26" ht="12" customHeight="1">
      <c r="A22" s="1151"/>
      <c r="B22" s="487" t="s">
        <v>417</v>
      </c>
      <c r="C22" s="488">
        <v>2707</v>
      </c>
      <c r="D22" s="488">
        <v>2206</v>
      </c>
      <c r="E22" s="488">
        <v>541</v>
      </c>
      <c r="F22" s="488"/>
      <c r="G22" s="488">
        <v>54</v>
      </c>
      <c r="H22" s="488"/>
      <c r="I22" s="488"/>
      <c r="J22" s="488"/>
      <c r="K22" s="488"/>
      <c r="L22" s="488">
        <v>124</v>
      </c>
      <c r="M22" s="488"/>
      <c r="N22" s="489">
        <f>SUM(C22:M22)-M22</f>
        <v>5632</v>
      </c>
      <c r="O22" s="1151"/>
      <c r="P22" s="487" t="s">
        <v>417</v>
      </c>
      <c r="Q22" s="490">
        <f>21465+54+240-319+113+40+342</f>
        <v>21935</v>
      </c>
      <c r="R22" s="490">
        <f>6750+76-107-113-40</f>
        <v>6566</v>
      </c>
      <c r="S22" s="488">
        <f>7093+100+100+100+880-342+54</f>
        <v>7985</v>
      </c>
      <c r="T22" s="488">
        <v>3066</v>
      </c>
      <c r="U22" s="488"/>
      <c r="V22" s="488"/>
      <c r="W22" s="488"/>
      <c r="X22" s="488"/>
      <c r="Y22" s="489">
        <f t="shared" si="1"/>
        <v>36486</v>
      </c>
      <c r="Z22" s="491"/>
    </row>
    <row r="23" spans="1:26" ht="12" customHeight="1">
      <c r="A23" s="1152"/>
      <c r="B23" s="487" t="s">
        <v>386</v>
      </c>
      <c r="C23" s="488">
        <v>2460</v>
      </c>
      <c r="D23" s="488">
        <v>1770</v>
      </c>
      <c r="E23" s="488">
        <v>538</v>
      </c>
      <c r="F23" s="488"/>
      <c r="G23" s="488">
        <v>54</v>
      </c>
      <c r="H23" s="488"/>
      <c r="I23" s="488"/>
      <c r="J23" s="488"/>
      <c r="K23" s="488"/>
      <c r="L23" s="488">
        <v>124</v>
      </c>
      <c r="M23" s="488"/>
      <c r="N23" s="489">
        <f>SUM(C23:M23)-M23</f>
        <v>4946</v>
      </c>
      <c r="O23" s="1152"/>
      <c r="P23" s="487" t="s">
        <v>386</v>
      </c>
      <c r="Q23" s="490">
        <v>21935</v>
      </c>
      <c r="R23" s="490">
        <v>6545</v>
      </c>
      <c r="S23" s="488">
        <v>7181</v>
      </c>
      <c r="T23" s="488">
        <v>3039</v>
      </c>
      <c r="U23" s="488"/>
      <c r="V23" s="488"/>
      <c r="W23" s="488"/>
      <c r="X23" s="488"/>
      <c r="Y23" s="489">
        <f t="shared" si="1"/>
        <v>35661</v>
      </c>
      <c r="Z23" s="491"/>
    </row>
    <row r="24" spans="1:26" ht="12" customHeight="1">
      <c r="A24" s="1150" t="s">
        <v>999</v>
      </c>
      <c r="B24" s="487" t="s">
        <v>512</v>
      </c>
      <c r="C24" s="488">
        <v>4276</v>
      </c>
      <c r="D24" s="488">
        <v>3426</v>
      </c>
      <c r="E24" s="488">
        <v>855</v>
      </c>
      <c r="F24" s="488"/>
      <c r="G24" s="488"/>
      <c r="H24" s="488"/>
      <c r="I24" s="488"/>
      <c r="J24" s="488"/>
      <c r="K24" s="488"/>
      <c r="L24" s="488"/>
      <c r="M24" s="488"/>
      <c r="N24" s="489">
        <f aca="true" t="shared" si="2" ref="N24:N69">SUM(C24:M24)-D24</f>
        <v>5131</v>
      </c>
      <c r="O24" s="1150" t="s">
        <v>999</v>
      </c>
      <c r="P24" s="487" t="s">
        <v>512</v>
      </c>
      <c r="Q24" s="490">
        <v>30482</v>
      </c>
      <c r="R24" s="490">
        <v>9571</v>
      </c>
      <c r="S24" s="488">
        <v>9688</v>
      </c>
      <c r="T24" s="488">
        <v>3887</v>
      </c>
      <c r="U24" s="488"/>
      <c r="V24" s="488"/>
      <c r="W24" s="488"/>
      <c r="X24" s="488"/>
      <c r="Y24" s="489">
        <f t="shared" si="1"/>
        <v>49741</v>
      </c>
      <c r="Z24" s="491"/>
    </row>
    <row r="25" spans="1:26" ht="12" customHeight="1">
      <c r="A25" s="1151"/>
      <c r="B25" s="487" t="s">
        <v>63</v>
      </c>
      <c r="C25" s="488">
        <v>4276</v>
      </c>
      <c r="D25" s="488">
        <v>3426</v>
      </c>
      <c r="E25" s="488">
        <v>855</v>
      </c>
      <c r="F25" s="488"/>
      <c r="G25" s="488"/>
      <c r="H25" s="488"/>
      <c r="I25" s="488"/>
      <c r="J25" s="488"/>
      <c r="K25" s="488"/>
      <c r="L25" s="488">
        <v>745</v>
      </c>
      <c r="M25" s="488"/>
      <c r="N25" s="489">
        <f t="shared" si="2"/>
        <v>5876</v>
      </c>
      <c r="O25" s="1151"/>
      <c r="P25" s="487" t="s">
        <v>63</v>
      </c>
      <c r="Q25" s="490">
        <f>31245+130+390+50</f>
        <v>31815</v>
      </c>
      <c r="R25" s="490">
        <f>9815+125+18</f>
        <v>9958</v>
      </c>
      <c r="S25" s="488">
        <f>9688+745+100</f>
        <v>10533</v>
      </c>
      <c r="T25" s="488">
        <v>3887</v>
      </c>
      <c r="U25" s="488"/>
      <c r="V25" s="488"/>
      <c r="W25" s="488"/>
      <c r="X25" s="488"/>
      <c r="Y25" s="489">
        <f t="shared" si="1"/>
        <v>52306</v>
      </c>
      <c r="Z25" s="491"/>
    </row>
    <row r="26" spans="1:26" ht="12" customHeight="1">
      <c r="A26" s="1151"/>
      <c r="B26" s="487" t="s">
        <v>1088</v>
      </c>
      <c r="C26" s="488">
        <f>533+4276</f>
        <v>4809</v>
      </c>
      <c r="D26" s="488">
        <v>3426</v>
      </c>
      <c r="E26" s="488">
        <v>855</v>
      </c>
      <c r="F26" s="488"/>
      <c r="G26" s="488"/>
      <c r="H26" s="488"/>
      <c r="I26" s="488"/>
      <c r="J26" s="488"/>
      <c r="K26" s="488"/>
      <c r="L26" s="488">
        <v>745</v>
      </c>
      <c r="M26" s="488"/>
      <c r="N26" s="489">
        <f t="shared" si="2"/>
        <v>6409</v>
      </c>
      <c r="O26" s="1151"/>
      <c r="P26" s="487" t="s">
        <v>1088</v>
      </c>
      <c r="Q26" s="490">
        <f>31245+130+390+50+580+194-580</f>
        <v>32009</v>
      </c>
      <c r="R26" s="490">
        <f>9815+125+18+186-194-186</f>
        <v>9764</v>
      </c>
      <c r="S26" s="488">
        <f>9688+745+100+533+945</f>
        <v>12011</v>
      </c>
      <c r="T26" s="488">
        <v>3887</v>
      </c>
      <c r="U26" s="488"/>
      <c r="V26" s="488"/>
      <c r="W26" s="488"/>
      <c r="X26" s="488"/>
      <c r="Y26" s="489">
        <f t="shared" si="1"/>
        <v>53784</v>
      </c>
      <c r="Z26" s="491"/>
    </row>
    <row r="27" spans="1:26" ht="12" customHeight="1">
      <c r="A27" s="1151"/>
      <c r="B27" s="487" t="s">
        <v>417</v>
      </c>
      <c r="C27" s="488">
        <f>533+4276+271</f>
        <v>5080</v>
      </c>
      <c r="D27" s="488">
        <v>3426</v>
      </c>
      <c r="E27" s="488">
        <v>855</v>
      </c>
      <c r="F27" s="488"/>
      <c r="G27" s="488"/>
      <c r="H27" s="488"/>
      <c r="I27" s="488"/>
      <c r="J27" s="488"/>
      <c r="K27" s="488"/>
      <c r="L27" s="488">
        <v>745</v>
      </c>
      <c r="M27" s="488"/>
      <c r="N27" s="489">
        <f t="shared" si="2"/>
        <v>6680</v>
      </c>
      <c r="O27" s="1151"/>
      <c r="P27" s="487" t="s">
        <v>417</v>
      </c>
      <c r="Q27" s="490">
        <f>31245+130+390+50+580+194-580+130+1687</f>
        <v>33826</v>
      </c>
      <c r="R27" s="490">
        <f>9815+125+18+186-194-186-70+364+225</f>
        <v>10283</v>
      </c>
      <c r="S27" s="488">
        <f>9688+745+100+533+945+271-225</f>
        <v>12057</v>
      </c>
      <c r="T27" s="488">
        <v>3887</v>
      </c>
      <c r="U27" s="488"/>
      <c r="V27" s="488"/>
      <c r="W27" s="488"/>
      <c r="X27" s="488"/>
      <c r="Y27" s="489">
        <f t="shared" si="1"/>
        <v>56166</v>
      </c>
      <c r="Z27" s="491"/>
    </row>
    <row r="28" spans="1:26" ht="12" customHeight="1">
      <c r="A28" s="1152"/>
      <c r="B28" s="487" t="s">
        <v>386</v>
      </c>
      <c r="C28" s="488">
        <v>5630</v>
      </c>
      <c r="D28" s="488">
        <v>3635</v>
      </c>
      <c r="E28" s="488">
        <v>1230</v>
      </c>
      <c r="F28" s="488"/>
      <c r="G28" s="488"/>
      <c r="H28" s="488"/>
      <c r="I28" s="488"/>
      <c r="J28" s="488"/>
      <c r="K28" s="488"/>
      <c r="L28" s="488">
        <v>745</v>
      </c>
      <c r="M28" s="488"/>
      <c r="N28" s="489">
        <f t="shared" si="2"/>
        <v>7605</v>
      </c>
      <c r="O28" s="1152"/>
      <c r="P28" s="487" t="s">
        <v>386</v>
      </c>
      <c r="Q28" s="490">
        <v>33840</v>
      </c>
      <c r="R28" s="490">
        <v>10283</v>
      </c>
      <c r="S28" s="488">
        <v>12057</v>
      </c>
      <c r="T28" s="488">
        <v>4174</v>
      </c>
      <c r="U28" s="488"/>
      <c r="V28" s="488"/>
      <c r="W28" s="488"/>
      <c r="X28" s="488"/>
      <c r="Y28" s="489">
        <f t="shared" si="1"/>
        <v>56180</v>
      </c>
      <c r="Z28" s="491"/>
    </row>
    <row r="29" spans="1:26" ht="12" customHeight="1">
      <c r="A29" s="1150" t="s">
        <v>418</v>
      </c>
      <c r="B29" s="487" t="s">
        <v>512</v>
      </c>
      <c r="C29" s="488">
        <v>2743</v>
      </c>
      <c r="D29" s="488">
        <v>2206</v>
      </c>
      <c r="E29" s="488">
        <v>548</v>
      </c>
      <c r="F29" s="488"/>
      <c r="G29" s="488"/>
      <c r="H29" s="488"/>
      <c r="I29" s="488"/>
      <c r="J29" s="488"/>
      <c r="K29" s="488"/>
      <c r="L29" s="488"/>
      <c r="M29" s="488"/>
      <c r="N29" s="489">
        <f t="shared" si="2"/>
        <v>3291</v>
      </c>
      <c r="O29" s="1150" t="s">
        <v>418</v>
      </c>
      <c r="P29" s="487" t="s">
        <v>512</v>
      </c>
      <c r="Q29" s="490">
        <v>17466</v>
      </c>
      <c r="R29" s="490">
        <v>5524</v>
      </c>
      <c r="S29" s="488">
        <v>7069</v>
      </c>
      <c r="T29" s="488">
        <v>2519</v>
      </c>
      <c r="U29" s="488"/>
      <c r="V29" s="488"/>
      <c r="W29" s="488"/>
      <c r="X29" s="488"/>
      <c r="Y29" s="489">
        <f t="shared" si="1"/>
        <v>30059</v>
      </c>
      <c r="Z29" s="491"/>
    </row>
    <row r="30" spans="1:26" ht="12" customHeight="1">
      <c r="A30" s="1151"/>
      <c r="B30" s="487" t="s">
        <v>63</v>
      </c>
      <c r="C30" s="488">
        <v>2743</v>
      </c>
      <c r="D30" s="488">
        <v>2206</v>
      </c>
      <c r="E30" s="488">
        <v>548</v>
      </c>
      <c r="F30" s="488"/>
      <c r="G30" s="488"/>
      <c r="H30" s="488"/>
      <c r="I30" s="488"/>
      <c r="J30" s="488"/>
      <c r="K30" s="488"/>
      <c r="L30" s="488">
        <v>139</v>
      </c>
      <c r="M30" s="488"/>
      <c r="N30" s="489">
        <f t="shared" si="2"/>
        <v>3430</v>
      </c>
      <c r="O30" s="1151"/>
      <c r="P30" s="487" t="s">
        <v>63</v>
      </c>
      <c r="Q30" s="490">
        <f>17856+190+50</f>
        <v>18096</v>
      </c>
      <c r="R30" s="490">
        <f>5649+60+18</f>
        <v>5727</v>
      </c>
      <c r="S30" s="488">
        <f>7381-350</f>
        <v>7031</v>
      </c>
      <c r="T30" s="488">
        <v>2519</v>
      </c>
      <c r="U30" s="488"/>
      <c r="V30" s="488"/>
      <c r="W30" s="488"/>
      <c r="X30" s="488"/>
      <c r="Y30" s="489">
        <f t="shared" si="1"/>
        <v>30854</v>
      </c>
      <c r="Z30" s="491"/>
    </row>
    <row r="31" spans="1:26" ht="12" customHeight="1">
      <c r="A31" s="1151"/>
      <c r="B31" s="487" t="s">
        <v>1088</v>
      </c>
      <c r="C31" s="488">
        <v>2743</v>
      </c>
      <c r="D31" s="488">
        <v>2206</v>
      </c>
      <c r="E31" s="488">
        <v>548</v>
      </c>
      <c r="F31" s="488"/>
      <c r="G31" s="488">
        <v>220</v>
      </c>
      <c r="H31" s="488"/>
      <c r="I31" s="488"/>
      <c r="J31" s="488"/>
      <c r="K31" s="488"/>
      <c r="L31" s="488">
        <v>139</v>
      </c>
      <c r="M31" s="488"/>
      <c r="N31" s="489">
        <f t="shared" si="2"/>
        <v>3650</v>
      </c>
      <c r="O31" s="1151"/>
      <c r="P31" s="487" t="s">
        <v>1088</v>
      </c>
      <c r="Q31" s="490">
        <f>17856+190+50+455+181</f>
        <v>18732</v>
      </c>
      <c r="R31" s="490">
        <f>5649+60+18+220-220-181+145</f>
        <v>5691</v>
      </c>
      <c r="S31" s="488">
        <f>7381-350+220-110-600+495</f>
        <v>7036</v>
      </c>
      <c r="T31" s="488">
        <v>2519</v>
      </c>
      <c r="U31" s="488"/>
      <c r="V31" s="488"/>
      <c r="W31" s="488">
        <v>110</v>
      </c>
      <c r="X31" s="488"/>
      <c r="Y31" s="489">
        <f t="shared" si="1"/>
        <v>31569</v>
      </c>
      <c r="Z31" s="491"/>
    </row>
    <row r="32" spans="1:26" ht="12" customHeight="1">
      <c r="A32" s="1151"/>
      <c r="B32" s="487" t="s">
        <v>417</v>
      </c>
      <c r="C32" s="488">
        <v>2743</v>
      </c>
      <c r="D32" s="488">
        <v>2206</v>
      </c>
      <c r="E32" s="488">
        <v>548</v>
      </c>
      <c r="F32" s="488"/>
      <c r="G32" s="488">
        <v>220</v>
      </c>
      <c r="H32" s="488"/>
      <c r="I32" s="488"/>
      <c r="J32" s="488"/>
      <c r="K32" s="488"/>
      <c r="L32" s="488">
        <v>139</v>
      </c>
      <c r="M32" s="488"/>
      <c r="N32" s="489">
        <f t="shared" si="2"/>
        <v>3650</v>
      </c>
      <c r="O32" s="1151"/>
      <c r="P32" s="487" t="s">
        <v>417</v>
      </c>
      <c r="Q32" s="490">
        <f>17856+190+50+455+181+70</f>
        <v>18802</v>
      </c>
      <c r="R32" s="490">
        <f>5649+60+18+220-220-181+145-70</f>
        <v>5621</v>
      </c>
      <c r="S32" s="488">
        <f>7381-350+220-110-600+495</f>
        <v>7036</v>
      </c>
      <c r="T32" s="488">
        <v>2519</v>
      </c>
      <c r="U32" s="488"/>
      <c r="V32" s="488"/>
      <c r="W32" s="488">
        <v>110</v>
      </c>
      <c r="X32" s="488"/>
      <c r="Y32" s="489">
        <f t="shared" si="1"/>
        <v>31569</v>
      </c>
      <c r="Z32" s="491"/>
    </row>
    <row r="33" spans="1:26" ht="12" customHeight="1">
      <c r="A33" s="1152"/>
      <c r="B33" s="487" t="s">
        <v>386</v>
      </c>
      <c r="C33" s="488">
        <v>2854</v>
      </c>
      <c r="D33" s="488">
        <v>2116</v>
      </c>
      <c r="E33" s="488">
        <v>620</v>
      </c>
      <c r="F33" s="488"/>
      <c r="G33" s="488">
        <v>219</v>
      </c>
      <c r="H33" s="488"/>
      <c r="I33" s="488"/>
      <c r="J33" s="488"/>
      <c r="K33" s="488"/>
      <c r="L33" s="488">
        <v>139</v>
      </c>
      <c r="M33" s="488"/>
      <c r="N33" s="489">
        <f t="shared" si="2"/>
        <v>3832</v>
      </c>
      <c r="O33" s="1152"/>
      <c r="P33" s="487" t="s">
        <v>386</v>
      </c>
      <c r="Q33" s="490">
        <v>17976</v>
      </c>
      <c r="R33" s="490">
        <v>5393</v>
      </c>
      <c r="S33" s="488">
        <v>6306</v>
      </c>
      <c r="T33" s="488">
        <v>2424</v>
      </c>
      <c r="U33" s="488"/>
      <c r="V33" s="488"/>
      <c r="W33" s="488">
        <v>110</v>
      </c>
      <c r="X33" s="488"/>
      <c r="Y33" s="489">
        <f t="shared" si="1"/>
        <v>29785</v>
      </c>
      <c r="Z33" s="491"/>
    </row>
    <row r="34" spans="1:26" ht="12" customHeight="1">
      <c r="A34" s="1150" t="s">
        <v>1000</v>
      </c>
      <c r="B34" s="487" t="s">
        <v>512</v>
      </c>
      <c r="C34" s="488">
        <v>5055</v>
      </c>
      <c r="D34" s="488">
        <v>2084</v>
      </c>
      <c r="E34" s="488">
        <v>1011</v>
      </c>
      <c r="F34" s="488"/>
      <c r="G34" s="488"/>
      <c r="H34" s="488"/>
      <c r="I34" s="488"/>
      <c r="J34" s="488"/>
      <c r="K34" s="488"/>
      <c r="L34" s="488"/>
      <c r="M34" s="488"/>
      <c r="N34" s="489">
        <f t="shared" si="2"/>
        <v>6066</v>
      </c>
      <c r="O34" s="1150" t="s">
        <v>1000</v>
      </c>
      <c r="P34" s="487" t="s">
        <v>512</v>
      </c>
      <c r="Q34" s="490">
        <v>26430</v>
      </c>
      <c r="R34" s="490">
        <v>8356</v>
      </c>
      <c r="S34" s="488">
        <v>10760</v>
      </c>
      <c r="T34" s="488">
        <v>2738</v>
      </c>
      <c r="U34" s="488"/>
      <c r="V34" s="488"/>
      <c r="W34" s="488"/>
      <c r="X34" s="488">
        <v>6250</v>
      </c>
      <c r="Y34" s="489">
        <f t="shared" si="1"/>
        <v>51796</v>
      </c>
      <c r="Z34" s="491"/>
    </row>
    <row r="35" spans="1:26" ht="12" customHeight="1">
      <c r="A35" s="1151"/>
      <c r="B35" s="487" t="s">
        <v>63</v>
      </c>
      <c r="C35" s="488">
        <v>5055</v>
      </c>
      <c r="D35" s="488">
        <v>2084</v>
      </c>
      <c r="E35" s="488">
        <v>1011</v>
      </c>
      <c r="F35" s="488"/>
      <c r="G35" s="488"/>
      <c r="H35" s="488"/>
      <c r="I35" s="488"/>
      <c r="J35" s="488"/>
      <c r="K35" s="488"/>
      <c r="L35" s="488">
        <v>306</v>
      </c>
      <c r="M35" s="488"/>
      <c r="N35" s="489">
        <f t="shared" si="2"/>
        <v>6372</v>
      </c>
      <c r="O35" s="1151"/>
      <c r="P35" s="487" t="s">
        <v>63</v>
      </c>
      <c r="Q35" s="490">
        <f>27073+399+312+50</f>
        <v>27834</v>
      </c>
      <c r="R35" s="490">
        <f>8562+107+100+18</f>
        <v>8787</v>
      </c>
      <c r="S35" s="488">
        <f>10760+231+100</f>
        <v>11091</v>
      </c>
      <c r="T35" s="488">
        <v>2738</v>
      </c>
      <c r="U35" s="488"/>
      <c r="V35" s="488"/>
      <c r="W35" s="488"/>
      <c r="X35" s="488">
        <v>6250</v>
      </c>
      <c r="Y35" s="489">
        <f>SUM(Q35:X35)-T36</f>
        <v>53962</v>
      </c>
      <c r="Z35" s="491"/>
    </row>
    <row r="36" spans="1:26" ht="12" customHeight="1">
      <c r="A36" s="1151"/>
      <c r="B36" s="487" t="s">
        <v>1088</v>
      </c>
      <c r="C36" s="488">
        <v>5055</v>
      </c>
      <c r="D36" s="488">
        <v>2084</v>
      </c>
      <c r="E36" s="488">
        <v>1011</v>
      </c>
      <c r="F36" s="488"/>
      <c r="G36" s="488"/>
      <c r="H36" s="488"/>
      <c r="I36" s="488"/>
      <c r="J36" s="488"/>
      <c r="K36" s="488"/>
      <c r="L36" s="488">
        <v>306</v>
      </c>
      <c r="M36" s="488"/>
      <c r="N36" s="489">
        <f t="shared" si="2"/>
        <v>6372</v>
      </c>
      <c r="O36" s="1151"/>
      <c r="P36" s="487" t="s">
        <v>1088</v>
      </c>
      <c r="Q36" s="490">
        <f>27073+399+312+50+233</f>
        <v>28067</v>
      </c>
      <c r="R36" s="490">
        <f>8562+107+100+18-233</f>
        <v>8554</v>
      </c>
      <c r="S36" s="488">
        <f>10760+231+100+940</f>
        <v>12031</v>
      </c>
      <c r="T36" s="488">
        <v>2738</v>
      </c>
      <c r="U36" s="488"/>
      <c r="V36" s="488"/>
      <c r="W36" s="488"/>
      <c r="X36" s="488">
        <f>6250-81</f>
        <v>6169</v>
      </c>
      <c r="Y36" s="489">
        <f>SUM(Q36:X36)</f>
        <v>57559</v>
      </c>
      <c r="Z36" s="491"/>
    </row>
    <row r="37" spans="1:26" ht="12" customHeight="1">
      <c r="A37" s="1151"/>
      <c r="B37" s="487" t="s">
        <v>417</v>
      </c>
      <c r="C37" s="488">
        <v>5055</v>
      </c>
      <c r="D37" s="488">
        <v>2084</v>
      </c>
      <c r="E37" s="488">
        <v>1011</v>
      </c>
      <c r="F37" s="488"/>
      <c r="G37" s="488"/>
      <c r="H37" s="488"/>
      <c r="I37" s="488"/>
      <c r="J37" s="488"/>
      <c r="K37" s="488"/>
      <c r="L37" s="488">
        <v>306</v>
      </c>
      <c r="M37" s="488"/>
      <c r="N37" s="489">
        <f t="shared" si="2"/>
        <v>6372</v>
      </c>
      <c r="O37" s="1151"/>
      <c r="P37" s="487" t="s">
        <v>417</v>
      </c>
      <c r="Q37" s="490">
        <f>27073+399+312+50+233+90-160</f>
        <v>27997</v>
      </c>
      <c r="R37" s="490">
        <f>8562+107+100+18-233-90-117</f>
        <v>8347</v>
      </c>
      <c r="S37" s="488">
        <f>10760+231+100+940+487</f>
        <v>12518</v>
      </c>
      <c r="T37" s="488">
        <v>2738</v>
      </c>
      <c r="U37" s="488"/>
      <c r="V37" s="488"/>
      <c r="W37" s="488"/>
      <c r="X37" s="488">
        <f>6250-81-210</f>
        <v>5959</v>
      </c>
      <c r="Y37" s="489">
        <f>SUM(Q37:X37)</f>
        <v>57559</v>
      </c>
      <c r="Z37" s="491"/>
    </row>
    <row r="38" spans="1:26" ht="12" customHeight="1">
      <c r="A38" s="1152"/>
      <c r="B38" s="487" t="s">
        <v>386</v>
      </c>
      <c r="C38" s="488">
        <v>5982</v>
      </c>
      <c r="D38" s="488">
        <v>2274</v>
      </c>
      <c r="E38" s="488">
        <v>1312</v>
      </c>
      <c r="F38" s="488"/>
      <c r="G38" s="488"/>
      <c r="H38" s="488"/>
      <c r="I38" s="488"/>
      <c r="J38" s="488"/>
      <c r="K38" s="488"/>
      <c r="L38" s="488">
        <v>306</v>
      </c>
      <c r="M38" s="488"/>
      <c r="N38" s="489">
        <f t="shared" si="2"/>
        <v>7600</v>
      </c>
      <c r="O38" s="1152"/>
      <c r="P38" s="487" t="s">
        <v>386</v>
      </c>
      <c r="Q38" s="490">
        <v>27997</v>
      </c>
      <c r="R38" s="490">
        <v>8347</v>
      </c>
      <c r="S38" s="488">
        <v>12518</v>
      </c>
      <c r="T38" s="488">
        <v>2869</v>
      </c>
      <c r="U38" s="488"/>
      <c r="V38" s="488"/>
      <c r="W38" s="488"/>
      <c r="X38" s="488">
        <v>5705</v>
      </c>
      <c r="Y38" s="489">
        <f>SUM(Q38:X38)</f>
        <v>57436</v>
      </c>
      <c r="Z38" s="491"/>
    </row>
    <row r="39" spans="1:26" ht="12" customHeight="1">
      <c r="A39" s="1150" t="s">
        <v>1066</v>
      </c>
      <c r="B39" s="487" t="s">
        <v>512</v>
      </c>
      <c r="C39" s="488">
        <v>4085</v>
      </c>
      <c r="D39" s="488">
        <v>3385</v>
      </c>
      <c r="E39" s="488">
        <v>817</v>
      </c>
      <c r="F39" s="488"/>
      <c r="G39" s="488"/>
      <c r="H39" s="488"/>
      <c r="I39" s="488"/>
      <c r="J39" s="488"/>
      <c r="K39" s="488"/>
      <c r="L39" s="488"/>
      <c r="M39" s="488"/>
      <c r="N39" s="489">
        <f t="shared" si="2"/>
        <v>4902</v>
      </c>
      <c r="O39" s="1150" t="s">
        <v>1066</v>
      </c>
      <c r="P39" s="487" t="s">
        <v>512</v>
      </c>
      <c r="Q39" s="490">
        <v>28542</v>
      </c>
      <c r="R39" s="490">
        <v>9001</v>
      </c>
      <c r="S39" s="488">
        <v>10637</v>
      </c>
      <c r="T39" s="488">
        <v>4462</v>
      </c>
      <c r="U39" s="488"/>
      <c r="V39" s="488"/>
      <c r="W39" s="488"/>
      <c r="X39" s="488">
        <v>1200</v>
      </c>
      <c r="Y39" s="489">
        <f aca="true" t="shared" si="3" ref="Y39:Y69">SUM(Q39:X39)-T39</f>
        <v>49380</v>
      </c>
      <c r="Z39" s="491"/>
    </row>
    <row r="40" spans="1:26" ht="12" customHeight="1">
      <c r="A40" s="1151"/>
      <c r="B40" s="487" t="s">
        <v>63</v>
      </c>
      <c r="C40" s="488">
        <v>4085</v>
      </c>
      <c r="D40" s="488">
        <v>3385</v>
      </c>
      <c r="E40" s="488">
        <v>817</v>
      </c>
      <c r="F40" s="488"/>
      <c r="G40" s="488"/>
      <c r="H40" s="488"/>
      <c r="I40" s="488"/>
      <c r="J40" s="488"/>
      <c r="K40" s="488"/>
      <c r="L40" s="488">
        <v>87</v>
      </c>
      <c r="M40" s="488"/>
      <c r="N40" s="489">
        <f t="shared" si="2"/>
        <v>4989</v>
      </c>
      <c r="O40" s="1151"/>
      <c r="P40" s="487" t="s">
        <v>63</v>
      </c>
      <c r="Q40" s="490">
        <f>29206+50+300+50</f>
        <v>29606</v>
      </c>
      <c r="R40" s="490">
        <f>9213+96+18</f>
        <v>9327</v>
      </c>
      <c r="S40" s="488">
        <f>10637+100+100</f>
        <v>10837</v>
      </c>
      <c r="T40" s="488">
        <v>4462</v>
      </c>
      <c r="U40" s="488"/>
      <c r="V40" s="488"/>
      <c r="W40" s="488"/>
      <c r="X40" s="488">
        <v>1200</v>
      </c>
      <c r="Y40" s="489">
        <f t="shared" si="3"/>
        <v>50970</v>
      </c>
      <c r="Z40" s="491"/>
    </row>
    <row r="41" spans="1:26" ht="12" customHeight="1">
      <c r="A41" s="1151"/>
      <c r="B41" s="487" t="s">
        <v>1088</v>
      </c>
      <c r="C41" s="488">
        <f>4085</f>
        <v>4085</v>
      </c>
      <c r="D41" s="488">
        <v>3385</v>
      </c>
      <c r="E41" s="488">
        <v>817</v>
      </c>
      <c r="F41" s="488"/>
      <c r="G41" s="488"/>
      <c r="H41" s="488"/>
      <c r="I41" s="488"/>
      <c r="J41" s="488"/>
      <c r="K41" s="488"/>
      <c r="L41" s="488">
        <v>87</v>
      </c>
      <c r="M41" s="488"/>
      <c r="N41" s="489">
        <f t="shared" si="2"/>
        <v>4989</v>
      </c>
      <c r="O41" s="1151"/>
      <c r="P41" s="487" t="s">
        <v>1088</v>
      </c>
      <c r="Q41" s="490">
        <f>29206+50+300+50+171</f>
        <v>29777</v>
      </c>
      <c r="R41" s="490">
        <f>9213+96+18-171</f>
        <v>9156</v>
      </c>
      <c r="S41" s="488">
        <f>10637+100+100+918</f>
        <v>11755</v>
      </c>
      <c r="T41" s="488">
        <v>4462</v>
      </c>
      <c r="U41" s="488"/>
      <c r="V41" s="488"/>
      <c r="W41" s="488"/>
      <c r="X41" s="488">
        <f>1200-88</f>
        <v>1112</v>
      </c>
      <c r="Y41" s="489">
        <f t="shared" si="3"/>
        <v>51800</v>
      </c>
      <c r="Z41" s="491"/>
    </row>
    <row r="42" spans="1:26" ht="12" customHeight="1">
      <c r="A42" s="1151"/>
      <c r="B42" s="487" t="s">
        <v>417</v>
      </c>
      <c r="C42" s="488">
        <f>4085</f>
        <v>4085</v>
      </c>
      <c r="D42" s="488">
        <v>3385</v>
      </c>
      <c r="E42" s="488">
        <v>817</v>
      </c>
      <c r="F42" s="488"/>
      <c r="G42" s="488"/>
      <c r="H42" s="488"/>
      <c r="I42" s="488"/>
      <c r="J42" s="488"/>
      <c r="K42" s="488"/>
      <c r="L42" s="488">
        <v>87</v>
      </c>
      <c r="M42" s="488"/>
      <c r="N42" s="489">
        <f t="shared" si="2"/>
        <v>4989</v>
      </c>
      <c r="O42" s="1151"/>
      <c r="P42" s="487" t="s">
        <v>417</v>
      </c>
      <c r="Q42" s="490">
        <f>29206+50+300+50+171+80-819</f>
        <v>29038</v>
      </c>
      <c r="R42" s="490">
        <f>9213+96+18-171-80</f>
        <v>9076</v>
      </c>
      <c r="S42" s="488">
        <f>10637+100+100+918+339</f>
        <v>12094</v>
      </c>
      <c r="T42" s="488">
        <v>4462</v>
      </c>
      <c r="U42" s="488"/>
      <c r="V42" s="488"/>
      <c r="W42" s="488">
        <v>480</v>
      </c>
      <c r="X42" s="488">
        <f>1200-88</f>
        <v>1112</v>
      </c>
      <c r="Y42" s="489">
        <f t="shared" si="3"/>
        <v>51800</v>
      </c>
      <c r="Z42" s="491"/>
    </row>
    <row r="43" spans="1:26" ht="12" customHeight="1">
      <c r="A43" s="1152"/>
      <c r="B43" s="487" t="s">
        <v>386</v>
      </c>
      <c r="C43" s="488">
        <v>4298</v>
      </c>
      <c r="D43" s="488">
        <v>3398</v>
      </c>
      <c r="E43" s="488">
        <v>947</v>
      </c>
      <c r="F43" s="488"/>
      <c r="G43" s="488"/>
      <c r="H43" s="488"/>
      <c r="I43" s="488"/>
      <c r="J43" s="488"/>
      <c r="K43" s="488"/>
      <c r="L43" s="488">
        <v>87</v>
      </c>
      <c r="M43" s="488"/>
      <c r="N43" s="489">
        <f t="shared" si="2"/>
        <v>5332</v>
      </c>
      <c r="O43" s="1152"/>
      <c r="P43" s="487" t="s">
        <v>386</v>
      </c>
      <c r="Q43" s="490">
        <v>28658</v>
      </c>
      <c r="R43" s="490">
        <v>8781</v>
      </c>
      <c r="S43" s="488">
        <v>12094</v>
      </c>
      <c r="T43" s="488">
        <v>4547</v>
      </c>
      <c r="U43" s="488"/>
      <c r="V43" s="488"/>
      <c r="W43" s="488">
        <v>480</v>
      </c>
      <c r="X43" s="488">
        <v>1112</v>
      </c>
      <c r="Y43" s="489">
        <f t="shared" si="3"/>
        <v>51125</v>
      </c>
      <c r="Z43" s="491"/>
    </row>
    <row r="44" spans="1:26" ht="12" customHeight="1">
      <c r="A44" s="1150" t="s">
        <v>1001</v>
      </c>
      <c r="B44" s="487" t="s">
        <v>512</v>
      </c>
      <c r="C44" s="488">
        <v>967</v>
      </c>
      <c r="D44" s="488">
        <v>768</v>
      </c>
      <c r="E44" s="488">
        <v>194</v>
      </c>
      <c r="F44" s="488"/>
      <c r="G44" s="488"/>
      <c r="H44" s="488"/>
      <c r="I44" s="488"/>
      <c r="J44" s="488"/>
      <c r="K44" s="488"/>
      <c r="L44" s="488"/>
      <c r="M44" s="488"/>
      <c r="N44" s="489">
        <f t="shared" si="2"/>
        <v>1161</v>
      </c>
      <c r="O44" s="1150" t="s">
        <v>1001</v>
      </c>
      <c r="P44" s="487" t="s">
        <v>512</v>
      </c>
      <c r="Q44" s="490">
        <v>7458</v>
      </c>
      <c r="R44" s="490">
        <v>2372</v>
      </c>
      <c r="S44" s="488">
        <v>3271</v>
      </c>
      <c r="T44" s="488">
        <v>1013</v>
      </c>
      <c r="U44" s="488"/>
      <c r="V44" s="488"/>
      <c r="W44" s="488"/>
      <c r="X44" s="488">
        <v>4500</v>
      </c>
      <c r="Y44" s="489">
        <f t="shared" si="3"/>
        <v>17601</v>
      </c>
      <c r="Z44" s="491"/>
    </row>
    <row r="45" spans="1:26" ht="12" customHeight="1">
      <c r="A45" s="1151"/>
      <c r="B45" s="487" t="s">
        <v>63</v>
      </c>
      <c r="C45" s="488">
        <v>967</v>
      </c>
      <c r="D45" s="488">
        <v>768</v>
      </c>
      <c r="E45" s="488">
        <v>194</v>
      </c>
      <c r="F45" s="488"/>
      <c r="G45" s="488"/>
      <c r="H45" s="488"/>
      <c r="I45" s="488"/>
      <c r="J45" s="488"/>
      <c r="K45" s="488"/>
      <c r="L45" s="488">
        <v>12</v>
      </c>
      <c r="M45" s="488"/>
      <c r="N45" s="489">
        <f t="shared" si="2"/>
        <v>1173</v>
      </c>
      <c r="O45" s="1151"/>
      <c r="P45" s="487" t="s">
        <v>63</v>
      </c>
      <c r="Q45" s="490">
        <f>7609+30+80+50</f>
        <v>7769</v>
      </c>
      <c r="R45" s="490">
        <f>2420+26+18</f>
        <v>2464</v>
      </c>
      <c r="S45" s="488">
        <f>3271+100</f>
        <v>3371</v>
      </c>
      <c r="T45" s="488">
        <v>1013</v>
      </c>
      <c r="U45" s="488"/>
      <c r="V45" s="488"/>
      <c r="W45" s="488"/>
      <c r="X45" s="488">
        <v>4500</v>
      </c>
      <c r="Y45" s="489">
        <f t="shared" si="3"/>
        <v>18104</v>
      </c>
      <c r="Z45" s="491"/>
    </row>
    <row r="46" spans="1:26" ht="12" customHeight="1">
      <c r="A46" s="1151"/>
      <c r="B46" s="487" t="s">
        <v>1088</v>
      </c>
      <c r="C46" s="488">
        <v>967</v>
      </c>
      <c r="D46" s="488">
        <v>768</v>
      </c>
      <c r="E46" s="488">
        <v>194</v>
      </c>
      <c r="F46" s="488"/>
      <c r="G46" s="488"/>
      <c r="H46" s="488"/>
      <c r="I46" s="488">
        <v>50</v>
      </c>
      <c r="J46" s="488"/>
      <c r="K46" s="488"/>
      <c r="L46" s="488">
        <v>12</v>
      </c>
      <c r="M46" s="488"/>
      <c r="N46" s="489">
        <f t="shared" si="2"/>
        <v>1223</v>
      </c>
      <c r="O46" s="1151"/>
      <c r="P46" s="487" t="s">
        <v>1088</v>
      </c>
      <c r="Q46" s="490">
        <f>7609+30+80+50+52</f>
        <v>7821</v>
      </c>
      <c r="R46" s="490">
        <f>2420+26+18-52</f>
        <v>2412</v>
      </c>
      <c r="S46" s="488">
        <f>3271+100+50+119</f>
        <v>3540</v>
      </c>
      <c r="T46" s="488">
        <v>1013</v>
      </c>
      <c r="U46" s="488"/>
      <c r="V46" s="488"/>
      <c r="W46" s="488"/>
      <c r="X46" s="488">
        <f>4500+409+161</f>
        <v>5070</v>
      </c>
      <c r="Y46" s="489">
        <f t="shared" si="3"/>
        <v>18843</v>
      </c>
      <c r="Z46" s="491"/>
    </row>
    <row r="47" spans="1:26" ht="12" customHeight="1">
      <c r="A47" s="1151"/>
      <c r="B47" s="487" t="s">
        <v>417</v>
      </c>
      <c r="C47" s="488">
        <v>967</v>
      </c>
      <c r="D47" s="488">
        <v>768</v>
      </c>
      <c r="E47" s="488">
        <v>194</v>
      </c>
      <c r="F47" s="488"/>
      <c r="G47" s="488">
        <v>50</v>
      </c>
      <c r="H47" s="488"/>
      <c r="I47" s="488">
        <f>50-50</f>
        <v>0</v>
      </c>
      <c r="J47" s="488"/>
      <c r="K47" s="488"/>
      <c r="L47" s="488">
        <v>12</v>
      </c>
      <c r="M47" s="488"/>
      <c r="N47" s="489">
        <f t="shared" si="2"/>
        <v>1223</v>
      </c>
      <c r="O47" s="1151"/>
      <c r="P47" s="487" t="s">
        <v>417</v>
      </c>
      <c r="Q47" s="490">
        <f>7609+30+80+50+52+15-25</f>
        <v>7811</v>
      </c>
      <c r="R47" s="490">
        <f>2420+26+18-52-15+25</f>
        <v>2422</v>
      </c>
      <c r="S47" s="488">
        <f>3271+100+50+119</f>
        <v>3540</v>
      </c>
      <c r="T47" s="488">
        <v>1013</v>
      </c>
      <c r="U47" s="488"/>
      <c r="V47" s="488"/>
      <c r="W47" s="488"/>
      <c r="X47" s="488">
        <f>4500+409+161</f>
        <v>5070</v>
      </c>
      <c r="Y47" s="489">
        <f t="shared" si="3"/>
        <v>18843</v>
      </c>
      <c r="Z47" s="491"/>
    </row>
    <row r="48" spans="1:26" ht="12" customHeight="1">
      <c r="A48" s="1152"/>
      <c r="B48" s="487" t="s">
        <v>386</v>
      </c>
      <c r="C48" s="488">
        <v>793</v>
      </c>
      <c r="D48" s="488">
        <v>669</v>
      </c>
      <c r="E48" s="488">
        <v>175</v>
      </c>
      <c r="F48" s="488"/>
      <c r="G48" s="488">
        <v>50</v>
      </c>
      <c r="H48" s="488"/>
      <c r="I48" s="488"/>
      <c r="J48" s="488"/>
      <c r="K48" s="488"/>
      <c r="L48" s="488">
        <v>12</v>
      </c>
      <c r="M48" s="488"/>
      <c r="N48" s="489">
        <f t="shared" si="2"/>
        <v>1030</v>
      </c>
      <c r="O48" s="1152"/>
      <c r="P48" s="487" t="s">
        <v>386</v>
      </c>
      <c r="Q48" s="490">
        <v>7811</v>
      </c>
      <c r="R48" s="490">
        <v>2421</v>
      </c>
      <c r="S48" s="488">
        <v>3503</v>
      </c>
      <c r="T48" s="488">
        <v>905</v>
      </c>
      <c r="U48" s="488"/>
      <c r="V48" s="488"/>
      <c r="W48" s="488"/>
      <c r="X48" s="488">
        <v>5070</v>
      </c>
      <c r="Y48" s="489">
        <f t="shared" si="3"/>
        <v>18805</v>
      </c>
      <c r="Z48" s="491"/>
    </row>
    <row r="49" spans="1:26" ht="12" customHeight="1">
      <c r="A49" s="1150" t="s">
        <v>419</v>
      </c>
      <c r="B49" s="487" t="s">
        <v>512</v>
      </c>
      <c r="C49" s="488">
        <v>4964</v>
      </c>
      <c r="D49" s="488">
        <v>3369</v>
      </c>
      <c r="E49" s="488">
        <v>993</v>
      </c>
      <c r="F49" s="488"/>
      <c r="G49" s="488"/>
      <c r="H49" s="488"/>
      <c r="I49" s="488"/>
      <c r="J49" s="488"/>
      <c r="K49" s="488"/>
      <c r="L49" s="488"/>
      <c r="M49" s="488"/>
      <c r="N49" s="489">
        <f t="shared" si="2"/>
        <v>5957</v>
      </c>
      <c r="O49" s="1150" t="s">
        <v>419</v>
      </c>
      <c r="P49" s="487" t="s">
        <v>512</v>
      </c>
      <c r="Q49" s="490">
        <v>37763</v>
      </c>
      <c r="R49" s="490">
        <v>11884</v>
      </c>
      <c r="S49" s="488">
        <v>20474</v>
      </c>
      <c r="T49" s="488">
        <v>3818</v>
      </c>
      <c r="U49" s="488"/>
      <c r="V49" s="488"/>
      <c r="W49" s="488"/>
      <c r="X49" s="488">
        <v>5100</v>
      </c>
      <c r="Y49" s="489">
        <f t="shared" si="3"/>
        <v>75221</v>
      </c>
      <c r="Z49" s="491"/>
    </row>
    <row r="50" spans="1:26" ht="12" customHeight="1">
      <c r="A50" s="1151"/>
      <c r="B50" s="487" t="s">
        <v>63</v>
      </c>
      <c r="C50" s="488">
        <v>4964</v>
      </c>
      <c r="D50" s="488">
        <v>3369</v>
      </c>
      <c r="E50" s="488">
        <v>993</v>
      </c>
      <c r="F50" s="488"/>
      <c r="G50" s="488"/>
      <c r="H50" s="488"/>
      <c r="I50" s="488"/>
      <c r="J50" s="488"/>
      <c r="K50" s="488"/>
      <c r="L50" s="488">
        <v>1112</v>
      </c>
      <c r="M50" s="488"/>
      <c r="N50" s="489">
        <f t="shared" si="2"/>
        <v>7069</v>
      </c>
      <c r="O50" s="1151"/>
      <c r="P50" s="487" t="s">
        <v>63</v>
      </c>
      <c r="Q50" s="490">
        <f>38707+160+386+60</f>
        <v>39313</v>
      </c>
      <c r="R50" s="490">
        <f>12186+123+22</f>
        <v>12331</v>
      </c>
      <c r="S50" s="488">
        <f>21346+200</f>
        <v>21546</v>
      </c>
      <c r="T50" s="488">
        <v>3818</v>
      </c>
      <c r="U50" s="488"/>
      <c r="V50" s="488"/>
      <c r="W50" s="488"/>
      <c r="X50" s="488">
        <v>5100</v>
      </c>
      <c r="Y50" s="489">
        <f t="shared" si="3"/>
        <v>78290</v>
      </c>
      <c r="Z50" s="491"/>
    </row>
    <row r="51" spans="1:26" ht="12" customHeight="1">
      <c r="A51" s="1151"/>
      <c r="B51" s="487" t="s">
        <v>1088</v>
      </c>
      <c r="C51" s="488">
        <v>4964</v>
      </c>
      <c r="D51" s="488">
        <v>3369</v>
      </c>
      <c r="E51" s="488">
        <v>993</v>
      </c>
      <c r="F51" s="488"/>
      <c r="G51" s="488"/>
      <c r="H51" s="488"/>
      <c r="I51" s="488"/>
      <c r="J51" s="488"/>
      <c r="K51" s="488"/>
      <c r="L51" s="488">
        <v>1112</v>
      </c>
      <c r="M51" s="488"/>
      <c r="N51" s="489">
        <f t="shared" si="2"/>
        <v>7069</v>
      </c>
      <c r="O51" s="1151"/>
      <c r="P51" s="487" t="s">
        <v>1088</v>
      </c>
      <c r="Q51" s="490">
        <f>38707+160+386+60+688</f>
        <v>40001</v>
      </c>
      <c r="R51" s="490">
        <f>12186+123+22-688</f>
        <v>11643</v>
      </c>
      <c r="S51" s="488">
        <f>21346+200-66</f>
        <v>21480</v>
      </c>
      <c r="T51" s="488">
        <v>3818</v>
      </c>
      <c r="U51" s="488"/>
      <c r="V51" s="488"/>
      <c r="W51" s="488">
        <v>66</v>
      </c>
      <c r="X51" s="488">
        <f>5100+47</f>
        <v>5147</v>
      </c>
      <c r="Y51" s="489">
        <f t="shared" si="3"/>
        <v>78337</v>
      </c>
      <c r="Z51" s="491"/>
    </row>
    <row r="52" spans="1:26" ht="12" customHeight="1">
      <c r="A52" s="1151"/>
      <c r="B52" s="487" t="s">
        <v>417</v>
      </c>
      <c r="C52" s="488">
        <v>4964</v>
      </c>
      <c r="D52" s="488">
        <v>3369</v>
      </c>
      <c r="E52" s="488">
        <v>993</v>
      </c>
      <c r="F52" s="488"/>
      <c r="G52" s="488"/>
      <c r="H52" s="488"/>
      <c r="I52" s="488"/>
      <c r="J52" s="488"/>
      <c r="K52" s="488"/>
      <c r="L52" s="488">
        <v>1112</v>
      </c>
      <c r="M52" s="488"/>
      <c r="N52" s="489">
        <f t="shared" si="2"/>
        <v>7069</v>
      </c>
      <c r="O52" s="1151"/>
      <c r="P52" s="487" t="s">
        <v>417</v>
      </c>
      <c r="Q52" s="490">
        <f>38707+160+386+60+688+250</f>
        <v>40251</v>
      </c>
      <c r="R52" s="490">
        <f>12186+123+22-688-250+185</f>
        <v>11578</v>
      </c>
      <c r="S52" s="488">
        <f>21346+200-66-185</f>
        <v>21295</v>
      </c>
      <c r="T52" s="488">
        <v>3818</v>
      </c>
      <c r="U52" s="488"/>
      <c r="V52" s="488"/>
      <c r="W52" s="488">
        <v>66</v>
      </c>
      <c r="X52" s="488">
        <f>5100+47</f>
        <v>5147</v>
      </c>
      <c r="Y52" s="489">
        <f t="shared" si="3"/>
        <v>78337</v>
      </c>
      <c r="Z52" s="491"/>
    </row>
    <row r="53" spans="1:26" ht="12" customHeight="1">
      <c r="A53" s="1152"/>
      <c r="B53" s="487" t="s">
        <v>386</v>
      </c>
      <c r="C53" s="488">
        <v>4994</v>
      </c>
      <c r="D53" s="488">
        <v>2905</v>
      </c>
      <c r="E53" s="488">
        <v>1090</v>
      </c>
      <c r="F53" s="488"/>
      <c r="G53" s="488"/>
      <c r="H53" s="488"/>
      <c r="I53" s="488"/>
      <c r="J53" s="488"/>
      <c r="K53" s="488"/>
      <c r="L53" s="488">
        <v>1112</v>
      </c>
      <c r="M53" s="488"/>
      <c r="N53" s="489">
        <f t="shared" si="2"/>
        <v>7196</v>
      </c>
      <c r="O53" s="1152"/>
      <c r="P53" s="487" t="s">
        <v>386</v>
      </c>
      <c r="Q53" s="490">
        <v>37978</v>
      </c>
      <c r="R53" s="490">
        <v>11577</v>
      </c>
      <c r="S53" s="488">
        <v>20330</v>
      </c>
      <c r="T53" s="488">
        <v>3395</v>
      </c>
      <c r="U53" s="488"/>
      <c r="V53" s="488"/>
      <c r="W53" s="488">
        <v>66</v>
      </c>
      <c r="X53" s="488">
        <v>5147</v>
      </c>
      <c r="Y53" s="489">
        <f t="shared" si="3"/>
        <v>75098</v>
      </c>
      <c r="Z53" s="491"/>
    </row>
    <row r="54" spans="1:26" ht="12" customHeight="1">
      <c r="A54" s="1158" t="s">
        <v>420</v>
      </c>
      <c r="B54" s="487" t="s">
        <v>512</v>
      </c>
      <c r="C54" s="488">
        <v>17381</v>
      </c>
      <c r="D54" s="488">
        <v>13420</v>
      </c>
      <c r="E54" s="488">
        <v>2780</v>
      </c>
      <c r="F54" s="488"/>
      <c r="G54" s="488"/>
      <c r="H54" s="488"/>
      <c r="I54" s="488"/>
      <c r="J54" s="488"/>
      <c r="K54" s="488"/>
      <c r="L54" s="488"/>
      <c r="M54" s="488"/>
      <c r="N54" s="489">
        <f t="shared" si="2"/>
        <v>20161</v>
      </c>
      <c r="O54" s="1158" t="s">
        <v>420</v>
      </c>
      <c r="P54" s="487" t="s">
        <v>512</v>
      </c>
      <c r="Q54" s="490">
        <v>189784</v>
      </c>
      <c r="R54" s="490">
        <v>59804</v>
      </c>
      <c r="S54" s="488">
        <v>69294</v>
      </c>
      <c r="T54" s="488">
        <v>31178</v>
      </c>
      <c r="U54" s="488"/>
      <c r="V54" s="488">
        <v>4101</v>
      </c>
      <c r="W54" s="488"/>
      <c r="X54" s="488">
        <v>4500</v>
      </c>
      <c r="Y54" s="489">
        <f t="shared" si="3"/>
        <v>327483</v>
      </c>
      <c r="Z54" s="491"/>
    </row>
    <row r="55" spans="1:26" ht="12" customHeight="1">
      <c r="A55" s="1159"/>
      <c r="B55" s="487" t="s">
        <v>63</v>
      </c>
      <c r="C55" s="488">
        <v>17447</v>
      </c>
      <c r="D55" s="488">
        <v>13420</v>
      </c>
      <c r="E55" s="488">
        <v>2780</v>
      </c>
      <c r="F55" s="488"/>
      <c r="G55" s="488"/>
      <c r="H55" s="488"/>
      <c r="I55" s="488">
        <f>2633+507+2712</f>
        <v>5852</v>
      </c>
      <c r="J55" s="488"/>
      <c r="K55" s="488"/>
      <c r="L55" s="488">
        <v>2263</v>
      </c>
      <c r="M55" s="488"/>
      <c r="N55" s="489">
        <f t="shared" si="2"/>
        <v>28342</v>
      </c>
      <c r="O55" s="1159"/>
      <c r="P55" s="487" t="s">
        <v>63</v>
      </c>
      <c r="Q55" s="490">
        <f>194505+450+10+1989-1026+120+189</f>
        <v>196237</v>
      </c>
      <c r="R55" s="490">
        <f>61313+637-328+43+60</f>
        <v>61725</v>
      </c>
      <c r="S55" s="488">
        <f>71416+1610+2633+258+2712+1354</f>
        <v>79983</v>
      </c>
      <c r="T55" s="488">
        <v>31178</v>
      </c>
      <c r="U55" s="488"/>
      <c r="V55" s="488">
        <v>4101</v>
      </c>
      <c r="W55" s="488"/>
      <c r="X55" s="488">
        <f>4500+2200</f>
        <v>6700</v>
      </c>
      <c r="Y55" s="489">
        <f t="shared" si="3"/>
        <v>348746</v>
      </c>
      <c r="Z55" s="491"/>
    </row>
    <row r="56" spans="1:26" ht="12" customHeight="1">
      <c r="A56" s="1159"/>
      <c r="B56" s="487" t="s">
        <v>1088</v>
      </c>
      <c r="C56" s="488">
        <v>17640</v>
      </c>
      <c r="D56" s="488">
        <v>13420</v>
      </c>
      <c r="E56" s="488">
        <v>2780</v>
      </c>
      <c r="F56" s="488"/>
      <c r="G56" s="488">
        <v>419</v>
      </c>
      <c r="H56" s="488"/>
      <c r="I56" s="488">
        <f>2633+507+2712</f>
        <v>5852</v>
      </c>
      <c r="J56" s="488"/>
      <c r="K56" s="488"/>
      <c r="L56" s="488">
        <v>2263</v>
      </c>
      <c r="M56" s="488"/>
      <c r="N56" s="489">
        <f t="shared" si="2"/>
        <v>28954</v>
      </c>
      <c r="O56" s="1159"/>
      <c r="P56" s="487" t="s">
        <v>1088</v>
      </c>
      <c r="Q56" s="490">
        <f>194505+450+10+1989-1026+120+189+139+529</f>
        <v>196905</v>
      </c>
      <c r="R56" s="490">
        <f>61313+637-328+43+60+45-529</f>
        <v>61241</v>
      </c>
      <c r="S56" s="488">
        <f>71416+1610+2633+258+2712+1354+193+419-118+183+2720+980</f>
        <v>84360</v>
      </c>
      <c r="T56" s="488">
        <v>31178</v>
      </c>
      <c r="U56" s="488"/>
      <c r="V56" s="488">
        <f>4101-15-16-148-980</f>
        <v>2942</v>
      </c>
      <c r="W56" s="488">
        <v>118</v>
      </c>
      <c r="X56" s="488">
        <f>4500+2200+34+27+450</f>
        <v>7211</v>
      </c>
      <c r="Y56" s="489">
        <f t="shared" si="3"/>
        <v>352777</v>
      </c>
      <c r="Z56" s="491"/>
    </row>
    <row r="57" spans="1:26" ht="12" customHeight="1">
      <c r="A57" s="1159"/>
      <c r="B57" s="487" t="s">
        <v>417</v>
      </c>
      <c r="C57" s="488">
        <f>17640+38</f>
        <v>17678</v>
      </c>
      <c r="D57" s="488">
        <v>13420</v>
      </c>
      <c r="E57" s="488">
        <v>2780</v>
      </c>
      <c r="F57" s="488"/>
      <c r="G57" s="488">
        <f>419+310</f>
        <v>729</v>
      </c>
      <c r="H57" s="488"/>
      <c r="I57" s="488">
        <f>2633+507+2712</f>
        <v>5852</v>
      </c>
      <c r="J57" s="488"/>
      <c r="K57" s="488"/>
      <c r="L57" s="488">
        <v>2263</v>
      </c>
      <c r="M57" s="488"/>
      <c r="N57" s="489">
        <f t="shared" si="2"/>
        <v>29302</v>
      </c>
      <c r="O57" s="1159"/>
      <c r="P57" s="487" t="s">
        <v>417</v>
      </c>
      <c r="Q57" s="490">
        <f>194505+450+10+1989-1026+120+189+139+529+290-452-36</f>
        <v>196707</v>
      </c>
      <c r="R57" s="490">
        <f>61313+637-328+43+60+45-529-290</f>
        <v>60951</v>
      </c>
      <c r="S57" s="488">
        <f>71416+1610+2633+258+2712+1354+193+419-118+183+2720+980+38-878-173+310</f>
        <v>83657</v>
      </c>
      <c r="T57" s="488">
        <v>31178</v>
      </c>
      <c r="U57" s="488">
        <v>36</v>
      </c>
      <c r="V57" s="488">
        <f>4101-15-16-148-980</f>
        <v>2942</v>
      </c>
      <c r="W57" s="488">
        <f>118+173</f>
        <v>291</v>
      </c>
      <c r="X57" s="488">
        <f>4500+2200+34+27+450</f>
        <v>7211</v>
      </c>
      <c r="Y57" s="489">
        <f t="shared" si="3"/>
        <v>351795</v>
      </c>
      <c r="Z57" s="491"/>
    </row>
    <row r="58" spans="1:26" ht="12" customHeight="1">
      <c r="A58" s="1160"/>
      <c r="B58" s="487" t="s">
        <v>386</v>
      </c>
      <c r="C58" s="488">
        <f>16218+171</f>
        <v>16389</v>
      </c>
      <c r="D58" s="488">
        <v>12732</v>
      </c>
      <c r="E58" s="488">
        <f>3039+38</f>
        <v>3077</v>
      </c>
      <c r="F58" s="488"/>
      <c r="G58" s="488">
        <v>810</v>
      </c>
      <c r="H58" s="488"/>
      <c r="I58" s="488">
        <f>3140+2712</f>
        <v>5852</v>
      </c>
      <c r="J58" s="488"/>
      <c r="K58" s="488"/>
      <c r="L58" s="488">
        <v>2263</v>
      </c>
      <c r="M58" s="488"/>
      <c r="N58" s="489">
        <f t="shared" si="2"/>
        <v>28391</v>
      </c>
      <c r="O58" s="1160"/>
      <c r="P58" s="487" t="s">
        <v>386</v>
      </c>
      <c r="Q58" s="490">
        <f>179701+16353</f>
        <v>196054</v>
      </c>
      <c r="R58" s="490">
        <f>53889+4894</f>
        <v>58783</v>
      </c>
      <c r="S58" s="488">
        <f>77260+5208</f>
        <v>82468</v>
      </c>
      <c r="T58" s="488">
        <v>18479</v>
      </c>
      <c r="U58" s="488">
        <v>36</v>
      </c>
      <c r="V58" s="488">
        <v>2942</v>
      </c>
      <c r="W58" s="488">
        <f>118+173</f>
        <v>291</v>
      </c>
      <c r="X58" s="488">
        <v>7210</v>
      </c>
      <c r="Y58" s="489">
        <f t="shared" si="3"/>
        <v>347784</v>
      </c>
      <c r="Z58" s="491"/>
    </row>
    <row r="59" spans="1:26" ht="12" customHeight="1">
      <c r="A59" s="1158" t="s">
        <v>421</v>
      </c>
      <c r="B59" s="487" t="s">
        <v>512</v>
      </c>
      <c r="C59" s="488">
        <v>7509</v>
      </c>
      <c r="D59" s="488">
        <v>6879</v>
      </c>
      <c r="E59" s="488">
        <v>1472</v>
      </c>
      <c r="F59" s="488"/>
      <c r="G59" s="488"/>
      <c r="H59" s="488"/>
      <c r="I59" s="488"/>
      <c r="J59" s="488"/>
      <c r="K59" s="488"/>
      <c r="L59" s="488"/>
      <c r="M59" s="488"/>
      <c r="N59" s="489">
        <f t="shared" si="2"/>
        <v>8981</v>
      </c>
      <c r="O59" s="1158" t="s">
        <v>421</v>
      </c>
      <c r="P59" s="487" t="s">
        <v>512</v>
      </c>
      <c r="Q59" s="488">
        <v>48514</v>
      </c>
      <c r="R59" s="490">
        <v>15394</v>
      </c>
      <c r="S59" s="488">
        <v>23553</v>
      </c>
      <c r="T59" s="488">
        <v>14450</v>
      </c>
      <c r="U59" s="488"/>
      <c r="V59" s="488">
        <v>792</v>
      </c>
      <c r="W59" s="488"/>
      <c r="X59" s="488">
        <v>450</v>
      </c>
      <c r="Y59" s="489">
        <f t="shared" si="3"/>
        <v>88703</v>
      </c>
      <c r="Z59" s="491"/>
    </row>
    <row r="60" spans="1:26" ht="12" customHeight="1">
      <c r="A60" s="1159"/>
      <c r="B60" s="487" t="s">
        <v>63</v>
      </c>
      <c r="C60" s="488">
        <v>7783</v>
      </c>
      <c r="D60" s="488">
        <v>6879</v>
      </c>
      <c r="E60" s="488">
        <v>1472</v>
      </c>
      <c r="F60" s="488"/>
      <c r="G60" s="488">
        <v>80</v>
      </c>
      <c r="H60" s="488"/>
      <c r="I60" s="488">
        <v>166</v>
      </c>
      <c r="J60" s="488"/>
      <c r="K60" s="488"/>
      <c r="L60" s="488">
        <v>215</v>
      </c>
      <c r="M60" s="488"/>
      <c r="N60" s="489">
        <f t="shared" si="2"/>
        <v>9716</v>
      </c>
      <c r="O60" s="1159"/>
      <c r="P60" s="487" t="s">
        <v>63</v>
      </c>
      <c r="Q60" s="488">
        <f>49552+130+522+126</f>
        <v>50330</v>
      </c>
      <c r="R60" s="490">
        <f>15726+166+40</f>
        <v>15932</v>
      </c>
      <c r="S60" s="488">
        <f>24442+80</f>
        <v>24522</v>
      </c>
      <c r="T60" s="488">
        <v>14450</v>
      </c>
      <c r="U60" s="488"/>
      <c r="V60" s="488">
        <v>792</v>
      </c>
      <c r="W60" s="488"/>
      <c r="X60" s="488">
        <v>450</v>
      </c>
      <c r="Y60" s="489">
        <f t="shared" si="3"/>
        <v>92026</v>
      </c>
      <c r="Z60" s="491"/>
    </row>
    <row r="61" spans="1:26" ht="12" customHeight="1">
      <c r="A61" s="1159"/>
      <c r="B61" s="487" t="s">
        <v>1088</v>
      </c>
      <c r="C61" s="488">
        <v>9131</v>
      </c>
      <c r="D61" s="488">
        <v>6879</v>
      </c>
      <c r="E61" s="488">
        <v>1472</v>
      </c>
      <c r="F61" s="488"/>
      <c r="G61" s="488">
        <v>80</v>
      </c>
      <c r="H61" s="488"/>
      <c r="I61" s="488">
        <v>166</v>
      </c>
      <c r="J61" s="488"/>
      <c r="K61" s="488"/>
      <c r="L61" s="488">
        <v>215</v>
      </c>
      <c r="M61" s="488"/>
      <c r="N61" s="489">
        <f t="shared" si="2"/>
        <v>11064</v>
      </c>
      <c r="O61" s="1159"/>
      <c r="P61" s="487" t="s">
        <v>1088</v>
      </c>
      <c r="Q61" s="488">
        <f>49552+130+522+126+312+135</f>
        <v>50777</v>
      </c>
      <c r="R61" s="490">
        <f>15726+166+40+94-135</f>
        <v>15891</v>
      </c>
      <c r="S61" s="488">
        <f>24442+80+942+190</f>
        <v>25654</v>
      </c>
      <c r="T61" s="488">
        <v>14450</v>
      </c>
      <c r="U61" s="488"/>
      <c r="V61" s="488">
        <f>792+15-190</f>
        <v>617</v>
      </c>
      <c r="W61" s="488"/>
      <c r="X61" s="488">
        <f>450-450</f>
        <v>0</v>
      </c>
      <c r="Y61" s="489">
        <f t="shared" si="3"/>
        <v>92939</v>
      </c>
      <c r="Z61" s="491"/>
    </row>
    <row r="62" spans="1:26" ht="12" customHeight="1">
      <c r="A62" s="1159"/>
      <c r="B62" s="487" t="s">
        <v>417</v>
      </c>
      <c r="C62" s="488">
        <f>9131-167</f>
        <v>8964</v>
      </c>
      <c r="D62" s="488">
        <v>6879</v>
      </c>
      <c r="E62" s="488">
        <v>1472</v>
      </c>
      <c r="F62" s="488"/>
      <c r="G62" s="488">
        <v>80</v>
      </c>
      <c r="H62" s="488"/>
      <c r="I62" s="488">
        <v>166</v>
      </c>
      <c r="J62" s="488"/>
      <c r="K62" s="488"/>
      <c r="L62" s="488">
        <v>215</v>
      </c>
      <c r="M62" s="488"/>
      <c r="N62" s="489">
        <f t="shared" si="2"/>
        <v>10897</v>
      </c>
      <c r="O62" s="1159"/>
      <c r="P62" s="487" t="s">
        <v>417</v>
      </c>
      <c r="Q62" s="488">
        <f>49552+130+522+126+312+135+452-15</f>
        <v>51214</v>
      </c>
      <c r="R62" s="490">
        <f>15726+166+40+94-135</f>
        <v>15891</v>
      </c>
      <c r="S62" s="488">
        <f>24442+80+942+190-167+649-400</f>
        <v>25736</v>
      </c>
      <c r="T62" s="488">
        <v>14450</v>
      </c>
      <c r="U62" s="488">
        <v>15</v>
      </c>
      <c r="V62" s="488">
        <f>792+15-190</f>
        <v>617</v>
      </c>
      <c r="W62" s="488">
        <v>400</v>
      </c>
      <c r="X62" s="488">
        <f>450-450</f>
        <v>0</v>
      </c>
      <c r="Y62" s="489">
        <f t="shared" si="3"/>
        <v>93873</v>
      </c>
      <c r="Z62" s="491"/>
    </row>
    <row r="63" spans="1:26" ht="12" customHeight="1">
      <c r="A63" s="1160"/>
      <c r="B63" s="487" t="s">
        <v>386</v>
      </c>
      <c r="C63" s="488">
        <v>9702</v>
      </c>
      <c r="D63" s="488">
        <v>7533</v>
      </c>
      <c r="E63" s="488">
        <v>2119</v>
      </c>
      <c r="F63" s="488"/>
      <c r="G63" s="488"/>
      <c r="H63" s="488"/>
      <c r="I63" s="488">
        <v>166</v>
      </c>
      <c r="J63" s="488"/>
      <c r="K63" s="488"/>
      <c r="L63" s="488">
        <v>215</v>
      </c>
      <c r="M63" s="488"/>
      <c r="N63" s="489">
        <f t="shared" si="2"/>
        <v>12202</v>
      </c>
      <c r="O63" s="1160"/>
      <c r="P63" s="487" t="s">
        <v>386</v>
      </c>
      <c r="Q63" s="488">
        <v>51214</v>
      </c>
      <c r="R63" s="490">
        <v>15458</v>
      </c>
      <c r="S63" s="488">
        <v>25735</v>
      </c>
      <c r="T63" s="488">
        <v>9324</v>
      </c>
      <c r="U63" s="488">
        <v>15</v>
      </c>
      <c r="V63" s="488">
        <v>617</v>
      </c>
      <c r="W63" s="488">
        <v>400</v>
      </c>
      <c r="X63" s="488"/>
      <c r="Y63" s="489">
        <f t="shared" si="3"/>
        <v>93439</v>
      </c>
      <c r="Z63" s="491"/>
    </row>
    <row r="64" spans="1:26" ht="12" customHeight="1">
      <c r="A64" s="1158" t="s">
        <v>422</v>
      </c>
      <c r="B64" s="487" t="s">
        <v>423</v>
      </c>
      <c r="C64" s="488">
        <v>1367</v>
      </c>
      <c r="D64" s="488"/>
      <c r="E64" s="488"/>
      <c r="F64" s="488"/>
      <c r="G64" s="488"/>
      <c r="H64" s="488"/>
      <c r="I64" s="488"/>
      <c r="J64" s="488"/>
      <c r="K64" s="488"/>
      <c r="L64" s="488"/>
      <c r="M64" s="488"/>
      <c r="N64" s="489">
        <f t="shared" si="2"/>
        <v>1367</v>
      </c>
      <c r="O64" s="1158" t="s">
        <v>422</v>
      </c>
      <c r="P64" s="487" t="s">
        <v>423</v>
      </c>
      <c r="Q64" s="488">
        <v>10063</v>
      </c>
      <c r="R64" s="490">
        <v>3697</v>
      </c>
      <c r="S64" s="488">
        <v>4784</v>
      </c>
      <c r="T64" s="488"/>
      <c r="U64" s="488"/>
      <c r="V64" s="488"/>
      <c r="W64" s="488"/>
      <c r="X64" s="488"/>
      <c r="Y64" s="489">
        <f t="shared" si="3"/>
        <v>18544</v>
      </c>
      <c r="Z64" s="491"/>
    </row>
    <row r="65" spans="1:26" ht="12" customHeight="1">
      <c r="A65" s="1159"/>
      <c r="B65" s="487" t="s">
        <v>1088</v>
      </c>
      <c r="C65" s="488">
        <v>1367</v>
      </c>
      <c r="D65" s="488"/>
      <c r="E65" s="488"/>
      <c r="F65" s="488"/>
      <c r="G65" s="488"/>
      <c r="H65" s="488"/>
      <c r="I65" s="488"/>
      <c r="J65" s="488"/>
      <c r="K65" s="488"/>
      <c r="L65" s="488"/>
      <c r="M65" s="488"/>
      <c r="N65" s="489">
        <f t="shared" si="2"/>
        <v>1367</v>
      </c>
      <c r="O65" s="1159"/>
      <c r="P65" s="487" t="s">
        <v>1088</v>
      </c>
      <c r="Q65" s="488">
        <f>10063+46</f>
        <v>10109</v>
      </c>
      <c r="R65" s="490">
        <f>3697-46</f>
        <v>3651</v>
      </c>
      <c r="S65" s="488">
        <f>4784+138</f>
        <v>4922</v>
      </c>
      <c r="T65" s="488"/>
      <c r="U65" s="488"/>
      <c r="V65" s="488">
        <v>415</v>
      </c>
      <c r="W65" s="488"/>
      <c r="X65" s="488"/>
      <c r="Y65" s="489">
        <f t="shared" si="3"/>
        <v>19097</v>
      </c>
      <c r="Z65" s="491"/>
    </row>
    <row r="66" spans="1:26" ht="12" customHeight="1">
      <c r="A66" s="1159"/>
      <c r="B66" s="487" t="s">
        <v>417</v>
      </c>
      <c r="C66" s="488">
        <v>1367</v>
      </c>
      <c r="D66" s="488"/>
      <c r="E66" s="488"/>
      <c r="F66" s="488"/>
      <c r="G66" s="488"/>
      <c r="H66" s="488"/>
      <c r="I66" s="488">
        <v>166</v>
      </c>
      <c r="J66" s="488"/>
      <c r="K66" s="488"/>
      <c r="L66" s="488"/>
      <c r="M66" s="488"/>
      <c r="N66" s="489">
        <f t="shared" si="2"/>
        <v>1533</v>
      </c>
      <c r="O66" s="1159"/>
      <c r="P66" s="487" t="s">
        <v>417</v>
      </c>
      <c r="Q66" s="488">
        <f>10063+46+20+126</f>
        <v>10255</v>
      </c>
      <c r="R66" s="490">
        <f>3697-46-20+40</f>
        <v>3671</v>
      </c>
      <c r="S66" s="488">
        <f>4784+138+229-151</f>
        <v>5000</v>
      </c>
      <c r="T66" s="488"/>
      <c r="U66" s="488"/>
      <c r="V66" s="488">
        <v>415</v>
      </c>
      <c r="W66" s="488">
        <v>151</v>
      </c>
      <c r="X66" s="488"/>
      <c r="Y66" s="489">
        <f t="shared" si="3"/>
        <v>19492</v>
      </c>
      <c r="Z66" s="491"/>
    </row>
    <row r="67" spans="1:26" ht="12" customHeight="1">
      <c r="A67" s="1160"/>
      <c r="B67" s="487" t="s">
        <v>386</v>
      </c>
      <c r="C67" s="488">
        <v>385</v>
      </c>
      <c r="D67" s="488">
        <v>379</v>
      </c>
      <c r="E67" s="488">
        <v>96</v>
      </c>
      <c r="F67" s="488"/>
      <c r="G67" s="488"/>
      <c r="H67" s="488"/>
      <c r="I67" s="488">
        <v>166</v>
      </c>
      <c r="J67" s="488"/>
      <c r="K67" s="488"/>
      <c r="L67" s="488"/>
      <c r="M67" s="488"/>
      <c r="N67" s="489">
        <f t="shared" si="2"/>
        <v>647</v>
      </c>
      <c r="O67" s="1160"/>
      <c r="P67" s="487" t="s">
        <v>386</v>
      </c>
      <c r="Q67" s="488">
        <v>9269</v>
      </c>
      <c r="R67" s="490">
        <v>2577</v>
      </c>
      <c r="S67" s="488">
        <v>3388</v>
      </c>
      <c r="T67" s="488">
        <v>870</v>
      </c>
      <c r="U67" s="488"/>
      <c r="V67" s="488">
        <v>415</v>
      </c>
      <c r="W67" s="488">
        <v>151</v>
      </c>
      <c r="X67" s="488"/>
      <c r="Y67" s="489">
        <f t="shared" si="3"/>
        <v>15800</v>
      </c>
      <c r="Z67" s="491"/>
    </row>
    <row r="68" spans="1:26" s="387" customFormat="1" ht="12" customHeight="1">
      <c r="A68" s="1161" t="s">
        <v>424</v>
      </c>
      <c r="B68" s="492" t="s">
        <v>512</v>
      </c>
      <c r="C68" s="493">
        <v>24890</v>
      </c>
      <c r="D68" s="493">
        <f aca="true" t="shared" si="4" ref="D68:M69">D54+D59</f>
        <v>20299</v>
      </c>
      <c r="E68" s="493">
        <f t="shared" si="4"/>
        <v>4252</v>
      </c>
      <c r="F68" s="493">
        <f t="shared" si="4"/>
        <v>0</v>
      </c>
      <c r="G68" s="493">
        <f t="shared" si="4"/>
        <v>0</v>
      </c>
      <c r="H68" s="493">
        <f t="shared" si="4"/>
        <v>0</v>
      </c>
      <c r="I68" s="493">
        <f t="shared" si="4"/>
        <v>0</v>
      </c>
      <c r="J68" s="493">
        <f t="shared" si="4"/>
        <v>0</v>
      </c>
      <c r="K68" s="493">
        <f t="shared" si="4"/>
        <v>0</v>
      </c>
      <c r="L68" s="493">
        <f t="shared" si="4"/>
        <v>0</v>
      </c>
      <c r="M68" s="493">
        <f t="shared" si="4"/>
        <v>0</v>
      </c>
      <c r="N68" s="489">
        <f t="shared" si="2"/>
        <v>29142</v>
      </c>
      <c r="O68" s="1161" t="s">
        <v>424</v>
      </c>
      <c r="P68" s="492" t="s">
        <v>512</v>
      </c>
      <c r="Q68" s="493">
        <f aca="true" t="shared" si="5" ref="Q68:X68">Q54+Q59</f>
        <v>238298</v>
      </c>
      <c r="R68" s="493">
        <f t="shared" si="5"/>
        <v>75198</v>
      </c>
      <c r="S68" s="493">
        <f t="shared" si="5"/>
        <v>92847</v>
      </c>
      <c r="T68" s="493">
        <f t="shared" si="5"/>
        <v>45628</v>
      </c>
      <c r="U68" s="493">
        <f t="shared" si="5"/>
        <v>0</v>
      </c>
      <c r="V68" s="493">
        <f t="shared" si="5"/>
        <v>4893</v>
      </c>
      <c r="W68" s="493">
        <f t="shared" si="5"/>
        <v>0</v>
      </c>
      <c r="X68" s="493">
        <f t="shared" si="5"/>
        <v>4950</v>
      </c>
      <c r="Y68" s="489">
        <f t="shared" si="3"/>
        <v>416186</v>
      </c>
      <c r="Z68" s="491"/>
    </row>
    <row r="69" spans="1:26" s="387" customFormat="1" ht="12" customHeight="1">
      <c r="A69" s="1162"/>
      <c r="B69" s="494" t="s">
        <v>423</v>
      </c>
      <c r="C69" s="493">
        <f>SUM(C55+C60+C64)</f>
        <v>26597</v>
      </c>
      <c r="D69" s="493">
        <f t="shared" si="4"/>
        <v>20299</v>
      </c>
      <c r="E69" s="493">
        <f t="shared" si="4"/>
        <v>4252</v>
      </c>
      <c r="F69" s="493">
        <f t="shared" si="4"/>
        <v>0</v>
      </c>
      <c r="G69" s="493">
        <f t="shared" si="4"/>
        <v>80</v>
      </c>
      <c r="H69" s="493">
        <f t="shared" si="4"/>
        <v>0</v>
      </c>
      <c r="I69" s="493">
        <f t="shared" si="4"/>
        <v>6018</v>
      </c>
      <c r="J69" s="493">
        <f t="shared" si="4"/>
        <v>0</v>
      </c>
      <c r="K69" s="493">
        <f t="shared" si="4"/>
        <v>0</v>
      </c>
      <c r="L69" s="493">
        <f>L55+L60</f>
        <v>2478</v>
      </c>
      <c r="M69" s="493">
        <f t="shared" si="4"/>
        <v>0</v>
      </c>
      <c r="N69" s="489">
        <f t="shared" si="2"/>
        <v>39425</v>
      </c>
      <c r="O69" s="1162"/>
      <c r="P69" s="494" t="s">
        <v>423</v>
      </c>
      <c r="Q69" s="493">
        <f aca="true" t="shared" si="6" ref="Q69:X69">Q55+Q60+Q64</f>
        <v>256630</v>
      </c>
      <c r="R69" s="493">
        <f>R55+R60+R64</f>
        <v>81354</v>
      </c>
      <c r="S69" s="493">
        <f t="shared" si="6"/>
        <v>109289</v>
      </c>
      <c r="T69" s="493">
        <f>T55+T60+T64</f>
        <v>45628</v>
      </c>
      <c r="U69" s="493">
        <f>U55+U60+U64</f>
        <v>0</v>
      </c>
      <c r="V69" s="493">
        <f>+V64+V55+V60</f>
        <v>4893</v>
      </c>
      <c r="W69" s="493">
        <f t="shared" si="6"/>
        <v>0</v>
      </c>
      <c r="X69" s="493">
        <f t="shared" si="6"/>
        <v>7150</v>
      </c>
      <c r="Y69" s="489">
        <f t="shared" si="3"/>
        <v>459316</v>
      </c>
      <c r="Z69" s="491"/>
    </row>
    <row r="70" spans="1:26" s="387" customFormat="1" ht="12" customHeight="1">
      <c r="A70" s="1162"/>
      <c r="B70" s="494" t="s">
        <v>1088</v>
      </c>
      <c r="C70" s="493">
        <f>SUM(C56+C61+C65)</f>
        <v>28138</v>
      </c>
      <c r="D70" s="495">
        <f aca="true" t="shared" si="7" ref="D70:N72">SUM(D56+D61+D65)</f>
        <v>20299</v>
      </c>
      <c r="E70" s="495">
        <f t="shared" si="7"/>
        <v>4252</v>
      </c>
      <c r="F70" s="495">
        <f t="shared" si="7"/>
        <v>0</v>
      </c>
      <c r="G70" s="495">
        <f t="shared" si="7"/>
        <v>499</v>
      </c>
      <c r="H70" s="495">
        <f t="shared" si="7"/>
        <v>0</v>
      </c>
      <c r="I70" s="495">
        <f t="shared" si="7"/>
        <v>6018</v>
      </c>
      <c r="J70" s="495">
        <f t="shared" si="7"/>
        <v>0</v>
      </c>
      <c r="K70" s="495">
        <f t="shared" si="7"/>
        <v>0</v>
      </c>
      <c r="L70" s="495">
        <f t="shared" si="7"/>
        <v>2478</v>
      </c>
      <c r="M70" s="495">
        <f t="shared" si="7"/>
        <v>0</v>
      </c>
      <c r="N70" s="759">
        <f t="shared" si="7"/>
        <v>41385</v>
      </c>
      <c r="O70" s="1162"/>
      <c r="P70" s="494" t="s">
        <v>1088</v>
      </c>
      <c r="Q70" s="495">
        <f>SUM(Q56+Q61+Q65)</f>
        <v>257791</v>
      </c>
      <c r="R70" s="495">
        <f>SUM(R61+R65+R56)</f>
        <v>80783</v>
      </c>
      <c r="S70" s="495">
        <f aca="true" t="shared" si="8" ref="S70:Y72">SUM(S56+S61+S65)</f>
        <v>114936</v>
      </c>
      <c r="T70" s="495">
        <f t="shared" si="8"/>
        <v>45628</v>
      </c>
      <c r="U70" s="495">
        <f t="shared" si="8"/>
        <v>0</v>
      </c>
      <c r="V70" s="495">
        <f t="shared" si="8"/>
        <v>3974</v>
      </c>
      <c r="W70" s="495">
        <f t="shared" si="8"/>
        <v>118</v>
      </c>
      <c r="X70" s="495">
        <f t="shared" si="8"/>
        <v>7211</v>
      </c>
      <c r="Y70" s="489">
        <f t="shared" si="8"/>
        <v>464813</v>
      </c>
      <c r="Z70" s="491"/>
    </row>
    <row r="71" spans="1:26" s="387" customFormat="1" ht="12" customHeight="1">
      <c r="A71" s="1162"/>
      <c r="B71" s="760" t="s">
        <v>417</v>
      </c>
      <c r="C71" s="500">
        <f>SUM(C57+C62+C66)</f>
        <v>28009</v>
      </c>
      <c r="D71" s="500">
        <f t="shared" si="7"/>
        <v>20299</v>
      </c>
      <c r="E71" s="500">
        <f t="shared" si="7"/>
        <v>4252</v>
      </c>
      <c r="F71" s="500">
        <f t="shared" si="7"/>
        <v>0</v>
      </c>
      <c r="G71" s="500">
        <f t="shared" si="7"/>
        <v>809</v>
      </c>
      <c r="H71" s="500">
        <f t="shared" si="7"/>
        <v>0</v>
      </c>
      <c r="I71" s="500">
        <f t="shared" si="7"/>
        <v>6184</v>
      </c>
      <c r="J71" s="500">
        <f t="shared" si="7"/>
        <v>0</v>
      </c>
      <c r="K71" s="500">
        <f t="shared" si="7"/>
        <v>0</v>
      </c>
      <c r="L71" s="500">
        <f t="shared" si="7"/>
        <v>2478</v>
      </c>
      <c r="M71" s="500">
        <f t="shared" si="7"/>
        <v>0</v>
      </c>
      <c r="N71" s="761">
        <f t="shared" si="7"/>
        <v>41732</v>
      </c>
      <c r="O71" s="1162"/>
      <c r="P71" s="760" t="s">
        <v>417</v>
      </c>
      <c r="Q71" s="500">
        <f>SUM(Q57+Q62+Q66)</f>
        <v>258176</v>
      </c>
      <c r="R71" s="500">
        <f>SUM(R62+R66+R57)</f>
        <v>80513</v>
      </c>
      <c r="S71" s="500">
        <f t="shared" si="8"/>
        <v>114393</v>
      </c>
      <c r="T71" s="500">
        <f t="shared" si="8"/>
        <v>45628</v>
      </c>
      <c r="U71" s="500">
        <f t="shared" si="8"/>
        <v>51</v>
      </c>
      <c r="V71" s="500">
        <f t="shared" si="8"/>
        <v>3974</v>
      </c>
      <c r="W71" s="500">
        <f t="shared" si="8"/>
        <v>842</v>
      </c>
      <c r="X71" s="500">
        <f t="shared" si="8"/>
        <v>7211</v>
      </c>
      <c r="Y71" s="761">
        <f t="shared" si="8"/>
        <v>465160</v>
      </c>
      <c r="Z71" s="491"/>
    </row>
    <row r="72" spans="1:26" s="387" customFormat="1" ht="12" customHeight="1" thickBot="1">
      <c r="A72" s="1163"/>
      <c r="B72" s="762" t="s">
        <v>386</v>
      </c>
      <c r="C72" s="763">
        <f>SUM(C58+C63+C67)</f>
        <v>26476</v>
      </c>
      <c r="D72" s="764">
        <f t="shared" si="7"/>
        <v>20644</v>
      </c>
      <c r="E72" s="764">
        <f t="shared" si="7"/>
        <v>5292</v>
      </c>
      <c r="F72" s="764">
        <f t="shared" si="7"/>
        <v>0</v>
      </c>
      <c r="G72" s="764">
        <f t="shared" si="7"/>
        <v>810</v>
      </c>
      <c r="H72" s="764">
        <f t="shared" si="7"/>
        <v>0</v>
      </c>
      <c r="I72" s="764">
        <f t="shared" si="7"/>
        <v>6184</v>
      </c>
      <c r="J72" s="764">
        <f t="shared" si="7"/>
        <v>0</v>
      </c>
      <c r="K72" s="764">
        <f t="shared" si="7"/>
        <v>0</v>
      </c>
      <c r="L72" s="764">
        <f t="shared" si="7"/>
        <v>2478</v>
      </c>
      <c r="M72" s="764">
        <f t="shared" si="7"/>
        <v>0</v>
      </c>
      <c r="N72" s="765">
        <f t="shared" si="7"/>
        <v>41240</v>
      </c>
      <c r="O72" s="1163"/>
      <c r="P72" s="762" t="s">
        <v>386</v>
      </c>
      <c r="Q72" s="763">
        <f>SUM(Q58+Q63+Q67)</f>
        <v>256537</v>
      </c>
      <c r="R72" s="764">
        <f>SUM(R63+R67+R58)</f>
        <v>76818</v>
      </c>
      <c r="S72" s="764">
        <f t="shared" si="8"/>
        <v>111591</v>
      </c>
      <c r="T72" s="764">
        <f t="shared" si="8"/>
        <v>28673</v>
      </c>
      <c r="U72" s="764">
        <f t="shared" si="8"/>
        <v>51</v>
      </c>
      <c r="V72" s="764">
        <f t="shared" si="8"/>
        <v>3974</v>
      </c>
      <c r="W72" s="764">
        <f t="shared" si="8"/>
        <v>842</v>
      </c>
      <c r="X72" s="764">
        <f t="shared" si="8"/>
        <v>7210</v>
      </c>
      <c r="Y72" s="765">
        <f t="shared" si="8"/>
        <v>457023</v>
      </c>
      <c r="Z72" s="491"/>
    </row>
    <row r="73" spans="1:26" s="770" customFormat="1" ht="12" customHeight="1" thickBot="1" thickTop="1">
      <c r="A73" s="766"/>
      <c r="B73" s="767"/>
      <c r="C73" s="768"/>
      <c r="D73" s="768"/>
      <c r="E73" s="768"/>
      <c r="F73" s="768"/>
      <c r="G73" s="768"/>
      <c r="H73" s="768"/>
      <c r="I73" s="768"/>
      <c r="J73" s="768"/>
      <c r="K73" s="768"/>
      <c r="L73" s="768"/>
      <c r="M73" s="768"/>
      <c r="N73" s="768"/>
      <c r="O73" s="766"/>
      <c r="P73" s="767"/>
      <c r="Q73" s="768"/>
      <c r="R73" s="768"/>
      <c r="S73" s="768"/>
      <c r="T73" s="768"/>
      <c r="U73" s="768"/>
      <c r="V73" s="768"/>
      <c r="W73" s="768"/>
      <c r="X73" s="768"/>
      <c r="Y73" s="768"/>
      <c r="Z73" s="769"/>
    </row>
    <row r="74" spans="1:26" s="387" customFormat="1" ht="12" customHeight="1" thickTop="1">
      <c r="A74" s="1164" t="s">
        <v>1050</v>
      </c>
      <c r="B74" s="1146"/>
      <c r="C74" s="1146" t="s">
        <v>1051</v>
      </c>
      <c r="D74" s="1146" t="s">
        <v>1052</v>
      </c>
      <c r="E74" s="1146" t="s">
        <v>1053</v>
      </c>
      <c r="F74" s="1146" t="s">
        <v>1054</v>
      </c>
      <c r="G74" s="1146" t="s">
        <v>1055</v>
      </c>
      <c r="H74" s="1146"/>
      <c r="I74" s="1146" t="s">
        <v>1056</v>
      </c>
      <c r="J74" s="1146"/>
      <c r="K74" s="1146" t="s">
        <v>1057</v>
      </c>
      <c r="L74" s="1146" t="s">
        <v>1058</v>
      </c>
      <c r="M74" s="1146"/>
      <c r="N74" s="1148" t="s">
        <v>1059</v>
      </c>
      <c r="O74" s="1164" t="s">
        <v>1050</v>
      </c>
      <c r="P74" s="1146"/>
      <c r="Q74" s="1166" t="s">
        <v>1336</v>
      </c>
      <c r="R74" s="1166"/>
      <c r="S74" s="1166"/>
      <c r="T74" s="1166"/>
      <c r="U74" s="1166"/>
      <c r="V74" s="1166"/>
      <c r="W74" s="1166" t="s">
        <v>511</v>
      </c>
      <c r="X74" s="1166"/>
      <c r="Y74" s="1167" t="s">
        <v>1060</v>
      </c>
      <c r="Z74" s="491"/>
    </row>
    <row r="75" spans="1:26" s="387" customFormat="1" ht="50.25" customHeight="1">
      <c r="A75" s="1165"/>
      <c r="B75" s="1147"/>
      <c r="C75" s="1147"/>
      <c r="D75" s="1147"/>
      <c r="E75" s="1147"/>
      <c r="F75" s="1147"/>
      <c r="G75" s="757" t="s">
        <v>1061</v>
      </c>
      <c r="H75" s="757" t="s">
        <v>409</v>
      </c>
      <c r="I75" s="757" t="s">
        <v>1061</v>
      </c>
      <c r="J75" s="757" t="s">
        <v>409</v>
      </c>
      <c r="K75" s="1147"/>
      <c r="L75" s="757" t="s">
        <v>410</v>
      </c>
      <c r="M75" s="757" t="s">
        <v>411</v>
      </c>
      <c r="N75" s="1149"/>
      <c r="O75" s="1165"/>
      <c r="P75" s="1147"/>
      <c r="Q75" s="757" t="s">
        <v>1323</v>
      </c>
      <c r="R75" s="757" t="s">
        <v>412</v>
      </c>
      <c r="S75" s="757" t="s">
        <v>413</v>
      </c>
      <c r="T75" s="757" t="s">
        <v>414</v>
      </c>
      <c r="U75" s="757"/>
      <c r="V75" s="757" t="s">
        <v>416</v>
      </c>
      <c r="W75" s="757" t="s">
        <v>1311</v>
      </c>
      <c r="X75" s="757" t="s">
        <v>1330</v>
      </c>
      <c r="Y75" s="1168"/>
      <c r="Z75" s="491"/>
    </row>
    <row r="76" spans="1:26" ht="12" customHeight="1">
      <c r="A76" s="1150" t="s">
        <v>50</v>
      </c>
      <c r="B76" s="487" t="s">
        <v>512</v>
      </c>
      <c r="C76" s="488">
        <v>19407</v>
      </c>
      <c r="D76" s="488">
        <v>17147</v>
      </c>
      <c r="E76" s="488">
        <v>3582</v>
      </c>
      <c r="F76" s="488"/>
      <c r="G76" s="488"/>
      <c r="H76" s="488"/>
      <c r="I76" s="488"/>
      <c r="J76" s="488"/>
      <c r="K76" s="488"/>
      <c r="L76" s="488"/>
      <c r="M76" s="488"/>
      <c r="N76" s="489">
        <f aca="true" t="shared" si="9" ref="N76:N87">SUM(C76:M76)-D76</f>
        <v>22989</v>
      </c>
      <c r="O76" s="1150" t="s">
        <v>50</v>
      </c>
      <c r="P76" s="487" t="s">
        <v>512</v>
      </c>
      <c r="Q76" s="490">
        <v>145438</v>
      </c>
      <c r="R76" s="490">
        <v>45994</v>
      </c>
      <c r="S76" s="488">
        <v>75044</v>
      </c>
      <c r="T76" s="488">
        <v>37444</v>
      </c>
      <c r="U76" s="488"/>
      <c r="V76" s="488">
        <v>2790</v>
      </c>
      <c r="W76" s="488"/>
      <c r="X76" s="488">
        <v>9250</v>
      </c>
      <c r="Y76" s="489">
        <f aca="true" t="shared" si="10" ref="Y76:Y87">SUM(Q76:X76)-T76</f>
        <v>278516</v>
      </c>
      <c r="Z76" s="491"/>
    </row>
    <row r="77" spans="1:26" ht="12" customHeight="1">
      <c r="A77" s="1151"/>
      <c r="B77" s="487" t="s">
        <v>63</v>
      </c>
      <c r="C77" s="488">
        <v>19407</v>
      </c>
      <c r="D77" s="488">
        <v>17147</v>
      </c>
      <c r="E77" s="488">
        <v>3582</v>
      </c>
      <c r="F77" s="488"/>
      <c r="G77" s="488">
        <v>2860</v>
      </c>
      <c r="H77" s="488"/>
      <c r="I77" s="488">
        <f>2800+266</f>
        <v>3066</v>
      </c>
      <c r="J77" s="488"/>
      <c r="K77" s="488"/>
      <c r="L77" s="488">
        <v>203</v>
      </c>
      <c r="M77" s="488"/>
      <c r="N77" s="489">
        <f t="shared" si="9"/>
        <v>29118</v>
      </c>
      <c r="O77" s="1151"/>
      <c r="P77" s="487" t="s">
        <v>63</v>
      </c>
      <c r="Q77" s="490">
        <f>148462+856+1540+120+126</f>
        <v>151104</v>
      </c>
      <c r="R77" s="490">
        <f>46962+210+493+43+40</f>
        <v>47748</v>
      </c>
      <c r="S77" s="488">
        <f>79507+3300+2800+100</f>
        <v>85707</v>
      </c>
      <c r="T77" s="488">
        <v>37444</v>
      </c>
      <c r="U77" s="488"/>
      <c r="V77" s="488">
        <v>2790</v>
      </c>
      <c r="W77" s="488"/>
      <c r="X77" s="488">
        <v>9250</v>
      </c>
      <c r="Y77" s="489">
        <f t="shared" si="10"/>
        <v>296599</v>
      </c>
      <c r="Z77" s="491"/>
    </row>
    <row r="78" spans="1:26" ht="12" customHeight="1">
      <c r="A78" s="1151"/>
      <c r="B78" s="487" t="s">
        <v>1088</v>
      </c>
      <c r="C78" s="488">
        <v>19407</v>
      </c>
      <c r="D78" s="488">
        <v>17147</v>
      </c>
      <c r="E78" s="488">
        <v>3582</v>
      </c>
      <c r="F78" s="488"/>
      <c r="G78" s="488">
        <v>2860</v>
      </c>
      <c r="H78" s="488"/>
      <c r="I78" s="488">
        <f>2800+266</f>
        <v>3066</v>
      </c>
      <c r="J78" s="488"/>
      <c r="K78" s="488"/>
      <c r="L78" s="488">
        <v>203</v>
      </c>
      <c r="M78" s="488"/>
      <c r="N78" s="489">
        <f t="shared" si="9"/>
        <v>29118</v>
      </c>
      <c r="O78" s="1151"/>
      <c r="P78" s="487" t="s">
        <v>1088</v>
      </c>
      <c r="Q78" s="490">
        <f>148462+856+1540+120+126+646+353-646</f>
        <v>151457</v>
      </c>
      <c r="R78" s="490">
        <f>46962+210+493+43+40+207-353-207</f>
        <v>47395</v>
      </c>
      <c r="S78" s="488">
        <f>79507+3300+2800+100-128+150+2056+129</f>
        <v>87914</v>
      </c>
      <c r="T78" s="488">
        <v>37444</v>
      </c>
      <c r="U78" s="488"/>
      <c r="V78" s="488">
        <f>2790-129</f>
        <v>2661</v>
      </c>
      <c r="W78" s="488">
        <v>128</v>
      </c>
      <c r="X78" s="488">
        <f>9250-250-409</f>
        <v>8591</v>
      </c>
      <c r="Y78" s="489">
        <f t="shared" si="10"/>
        <v>298146</v>
      </c>
      <c r="Z78" s="491"/>
    </row>
    <row r="79" spans="1:26" ht="12" customHeight="1">
      <c r="A79" s="1151"/>
      <c r="B79" s="487" t="s">
        <v>417</v>
      </c>
      <c r="C79" s="488">
        <v>19407</v>
      </c>
      <c r="D79" s="488">
        <v>17147</v>
      </c>
      <c r="E79" s="488">
        <v>3582</v>
      </c>
      <c r="F79" s="488"/>
      <c r="G79" s="488">
        <f>2860+2230</f>
        <v>5090</v>
      </c>
      <c r="H79" s="488"/>
      <c r="I79" s="488">
        <f>2800+266+82</f>
        <v>3148</v>
      </c>
      <c r="J79" s="488"/>
      <c r="K79" s="488"/>
      <c r="L79" s="488">
        <v>203</v>
      </c>
      <c r="M79" s="488"/>
      <c r="N79" s="489">
        <f t="shared" si="9"/>
        <v>31430</v>
      </c>
      <c r="O79" s="1151"/>
      <c r="P79" s="487" t="s">
        <v>417</v>
      </c>
      <c r="Q79" s="490">
        <f>148462+856+1540+120+126+646+353-646+190+11006</f>
        <v>162653</v>
      </c>
      <c r="R79" s="490">
        <f>46962+210+493+43+40+207-353-207-190+2782</f>
        <v>49987</v>
      </c>
      <c r="S79" s="488">
        <f>79507+3300+2800+100-128+150+2056+129+3750-1996+2230+82+100</f>
        <v>92080</v>
      </c>
      <c r="T79" s="488">
        <v>37444</v>
      </c>
      <c r="U79" s="488"/>
      <c r="V79" s="488">
        <f>2790-129</f>
        <v>2661</v>
      </c>
      <c r="W79" s="488">
        <f>128+1996</f>
        <v>2124</v>
      </c>
      <c r="X79" s="488">
        <f>9250-250-409</f>
        <v>8591</v>
      </c>
      <c r="Y79" s="489">
        <f t="shared" si="10"/>
        <v>318096</v>
      </c>
      <c r="Z79" s="491"/>
    </row>
    <row r="80" spans="1:26" ht="12" customHeight="1">
      <c r="A80" s="1152"/>
      <c r="B80" s="487" t="s">
        <v>386</v>
      </c>
      <c r="C80" s="488">
        <v>20376</v>
      </c>
      <c r="D80" s="488">
        <v>18312</v>
      </c>
      <c r="E80" s="488">
        <v>4493</v>
      </c>
      <c r="F80" s="488"/>
      <c r="G80" s="488">
        <v>5090</v>
      </c>
      <c r="H80" s="488"/>
      <c r="I80" s="488">
        <v>3148</v>
      </c>
      <c r="J80" s="488"/>
      <c r="K80" s="488"/>
      <c r="L80" s="488">
        <v>203</v>
      </c>
      <c r="M80" s="488"/>
      <c r="N80" s="489">
        <f t="shared" si="9"/>
        <v>33310</v>
      </c>
      <c r="O80" s="1152"/>
      <c r="P80" s="487" t="s">
        <v>386</v>
      </c>
      <c r="Q80" s="490">
        <v>162653</v>
      </c>
      <c r="R80" s="490">
        <v>49987</v>
      </c>
      <c r="S80" s="488">
        <v>91656</v>
      </c>
      <c r="T80" s="488">
        <v>23242</v>
      </c>
      <c r="U80" s="488"/>
      <c r="V80" s="488">
        <v>2661</v>
      </c>
      <c r="W80" s="488">
        <v>2124</v>
      </c>
      <c r="X80" s="488">
        <v>4190</v>
      </c>
      <c r="Y80" s="489">
        <f t="shared" si="10"/>
        <v>313271</v>
      </c>
      <c r="Z80" s="491"/>
    </row>
    <row r="81" spans="1:26" ht="12" customHeight="1">
      <c r="A81" s="1150" t="s">
        <v>425</v>
      </c>
      <c r="B81" s="487" t="s">
        <v>512</v>
      </c>
      <c r="C81" s="488">
        <v>4556</v>
      </c>
      <c r="D81" s="488">
        <v>3961</v>
      </c>
      <c r="E81" s="488">
        <v>871</v>
      </c>
      <c r="F81" s="488"/>
      <c r="G81" s="488"/>
      <c r="H81" s="488"/>
      <c r="I81" s="488"/>
      <c r="J81" s="488"/>
      <c r="K81" s="488"/>
      <c r="L81" s="488"/>
      <c r="M81" s="488"/>
      <c r="N81" s="489">
        <f t="shared" si="9"/>
        <v>5427</v>
      </c>
      <c r="O81" s="1150" t="s">
        <v>425</v>
      </c>
      <c r="P81" s="487" t="s">
        <v>512</v>
      </c>
      <c r="Q81" s="490">
        <v>54559</v>
      </c>
      <c r="R81" s="490">
        <v>17293</v>
      </c>
      <c r="S81" s="488">
        <v>26463</v>
      </c>
      <c r="T81" s="488">
        <v>11453</v>
      </c>
      <c r="U81" s="488"/>
      <c r="V81" s="488">
        <v>1200</v>
      </c>
      <c r="W81" s="488">
        <v>930</v>
      </c>
      <c r="X81" s="488">
        <v>500</v>
      </c>
      <c r="Y81" s="489">
        <f t="shared" si="10"/>
        <v>100945</v>
      </c>
      <c r="Z81" s="491"/>
    </row>
    <row r="82" spans="1:26" ht="12" customHeight="1">
      <c r="A82" s="1151"/>
      <c r="B82" s="487" t="s">
        <v>63</v>
      </c>
      <c r="C82" s="488">
        <f>4556+3</f>
        <v>4559</v>
      </c>
      <c r="D82" s="488">
        <v>3961</v>
      </c>
      <c r="E82" s="488">
        <v>871</v>
      </c>
      <c r="F82" s="488"/>
      <c r="G82" s="488"/>
      <c r="H82" s="488"/>
      <c r="I82" s="488">
        <v>251</v>
      </c>
      <c r="J82" s="488"/>
      <c r="K82" s="488"/>
      <c r="L82" s="488">
        <v>424</v>
      </c>
      <c r="M82" s="488"/>
      <c r="N82" s="489">
        <f t="shared" si="9"/>
        <v>6105</v>
      </c>
      <c r="O82" s="1151"/>
      <c r="P82" s="487" t="s">
        <v>63</v>
      </c>
      <c r="Q82" s="490">
        <f>55765+315+558+130+126</f>
        <v>56894</v>
      </c>
      <c r="R82" s="490">
        <f>17679+80+179+40</f>
        <v>17978</v>
      </c>
      <c r="S82" s="488">
        <f>27206-130+50</f>
        <v>27126</v>
      </c>
      <c r="T82" s="488">
        <v>11453</v>
      </c>
      <c r="U82" s="488"/>
      <c r="V82" s="488">
        <v>1200</v>
      </c>
      <c r="W82" s="488">
        <v>930</v>
      </c>
      <c r="X82" s="488">
        <f>500</f>
        <v>500</v>
      </c>
      <c r="Y82" s="489">
        <f t="shared" si="10"/>
        <v>104628</v>
      </c>
      <c r="Z82" s="491"/>
    </row>
    <row r="83" spans="1:26" ht="12" customHeight="1">
      <c r="A83" s="1151"/>
      <c r="B83" s="487" t="s">
        <v>1088</v>
      </c>
      <c r="C83" s="488">
        <f>4556+3</f>
        <v>4559</v>
      </c>
      <c r="D83" s="488">
        <v>3961</v>
      </c>
      <c r="E83" s="488">
        <v>871</v>
      </c>
      <c r="F83" s="488"/>
      <c r="G83" s="488"/>
      <c r="H83" s="488"/>
      <c r="I83" s="488">
        <v>251</v>
      </c>
      <c r="J83" s="488"/>
      <c r="K83" s="488"/>
      <c r="L83" s="488">
        <v>424</v>
      </c>
      <c r="M83" s="488"/>
      <c r="N83" s="489">
        <f t="shared" si="9"/>
        <v>6105</v>
      </c>
      <c r="O83" s="1151"/>
      <c r="P83" s="487" t="s">
        <v>1088</v>
      </c>
      <c r="Q83" s="490">
        <f>55765+315+558+130+126-139+128</f>
        <v>56883</v>
      </c>
      <c r="R83" s="490">
        <f>17679+80+179+40-45-128</f>
        <v>17805</v>
      </c>
      <c r="S83" s="488">
        <f>27206-130+50+42</f>
        <v>27168</v>
      </c>
      <c r="T83" s="488">
        <v>11453</v>
      </c>
      <c r="U83" s="488"/>
      <c r="V83" s="488">
        <f>1200+16-42</f>
        <v>1174</v>
      </c>
      <c r="W83" s="488">
        <v>930</v>
      </c>
      <c r="X83" s="488">
        <f>500-161-27</f>
        <v>312</v>
      </c>
      <c r="Y83" s="489">
        <f t="shared" si="10"/>
        <v>104272</v>
      </c>
      <c r="Z83" s="491"/>
    </row>
    <row r="84" spans="1:26" ht="12" customHeight="1">
      <c r="A84" s="1151"/>
      <c r="B84" s="487" t="s">
        <v>417</v>
      </c>
      <c r="C84" s="488">
        <f>4556+3</f>
        <v>4559</v>
      </c>
      <c r="D84" s="488">
        <v>3961</v>
      </c>
      <c r="E84" s="488">
        <v>871</v>
      </c>
      <c r="F84" s="488"/>
      <c r="G84" s="488">
        <v>100</v>
      </c>
      <c r="H84" s="488"/>
      <c r="I84" s="488">
        <v>251</v>
      </c>
      <c r="J84" s="488"/>
      <c r="K84" s="488"/>
      <c r="L84" s="488">
        <v>424</v>
      </c>
      <c r="M84" s="488"/>
      <c r="N84" s="489">
        <f t="shared" si="9"/>
        <v>6205</v>
      </c>
      <c r="O84" s="1151"/>
      <c r="P84" s="487" t="s">
        <v>417</v>
      </c>
      <c r="Q84" s="490">
        <f>55765+315+558+130+126-139+128-11006</f>
        <v>45877</v>
      </c>
      <c r="R84" s="490">
        <f>17679+80+179+40-45-128-4639</f>
        <v>13166</v>
      </c>
      <c r="S84" s="488">
        <f>27206-130+50+42-1893+100</f>
        <v>25375</v>
      </c>
      <c r="T84" s="488">
        <v>11453</v>
      </c>
      <c r="U84" s="488"/>
      <c r="V84" s="488">
        <f>1200+16-42</f>
        <v>1174</v>
      </c>
      <c r="W84" s="488">
        <v>930</v>
      </c>
      <c r="X84" s="488">
        <f>500-161-27</f>
        <v>312</v>
      </c>
      <c r="Y84" s="489">
        <f t="shared" si="10"/>
        <v>86834</v>
      </c>
      <c r="Z84" s="491"/>
    </row>
    <row r="85" spans="1:26" ht="12" customHeight="1">
      <c r="A85" s="1152"/>
      <c r="B85" s="487" t="s">
        <v>386</v>
      </c>
      <c r="C85" s="488">
        <v>4133</v>
      </c>
      <c r="D85" s="488">
        <v>3756</v>
      </c>
      <c r="E85" s="488">
        <v>890</v>
      </c>
      <c r="F85" s="488"/>
      <c r="G85" s="488">
        <v>100</v>
      </c>
      <c r="H85" s="488"/>
      <c r="I85" s="488">
        <v>251</v>
      </c>
      <c r="J85" s="488"/>
      <c r="K85" s="488"/>
      <c r="L85" s="488">
        <v>424</v>
      </c>
      <c r="M85" s="488"/>
      <c r="N85" s="489">
        <f t="shared" si="9"/>
        <v>5798</v>
      </c>
      <c r="O85" s="1152"/>
      <c r="P85" s="487" t="s">
        <v>386</v>
      </c>
      <c r="Q85" s="490">
        <v>42841</v>
      </c>
      <c r="R85" s="490">
        <v>12957</v>
      </c>
      <c r="S85" s="488">
        <v>25773</v>
      </c>
      <c r="T85" s="488">
        <v>7029</v>
      </c>
      <c r="U85" s="488"/>
      <c r="V85" s="488">
        <v>1174</v>
      </c>
      <c r="W85" s="488"/>
      <c r="X85" s="488">
        <v>313</v>
      </c>
      <c r="Y85" s="489">
        <f t="shared" si="10"/>
        <v>83058</v>
      </c>
      <c r="Z85" s="491"/>
    </row>
    <row r="86" spans="1:26" s="387" customFormat="1" ht="12" customHeight="1">
      <c r="A86" s="1169" t="s">
        <v>426</v>
      </c>
      <c r="B86" s="492" t="s">
        <v>512</v>
      </c>
      <c r="C86" s="493">
        <f aca="true" t="shared" si="11" ref="C86:M87">C76+C81</f>
        <v>23963</v>
      </c>
      <c r="D86" s="493">
        <f t="shared" si="11"/>
        <v>21108</v>
      </c>
      <c r="E86" s="493">
        <f t="shared" si="11"/>
        <v>4453</v>
      </c>
      <c r="F86" s="493">
        <f t="shared" si="11"/>
        <v>0</v>
      </c>
      <c r="G86" s="493">
        <f t="shared" si="11"/>
        <v>0</v>
      </c>
      <c r="H86" s="493">
        <f t="shared" si="11"/>
        <v>0</v>
      </c>
      <c r="I86" s="493">
        <f t="shared" si="11"/>
        <v>0</v>
      </c>
      <c r="J86" s="493">
        <f t="shared" si="11"/>
        <v>0</v>
      </c>
      <c r="K86" s="493">
        <f t="shared" si="11"/>
        <v>0</v>
      </c>
      <c r="L86" s="493">
        <f t="shared" si="11"/>
        <v>0</v>
      </c>
      <c r="M86" s="493">
        <f t="shared" si="11"/>
        <v>0</v>
      </c>
      <c r="N86" s="489">
        <f t="shared" si="9"/>
        <v>28416</v>
      </c>
      <c r="O86" s="1169" t="s">
        <v>426</v>
      </c>
      <c r="P86" s="492" t="s">
        <v>512</v>
      </c>
      <c r="Q86" s="493">
        <f aca="true" t="shared" si="12" ref="Q86:X87">Q76+Q81</f>
        <v>199997</v>
      </c>
      <c r="R86" s="493">
        <f t="shared" si="12"/>
        <v>63287</v>
      </c>
      <c r="S86" s="493">
        <f t="shared" si="12"/>
        <v>101507</v>
      </c>
      <c r="T86" s="493">
        <f t="shared" si="12"/>
        <v>48897</v>
      </c>
      <c r="U86" s="493">
        <f t="shared" si="12"/>
        <v>0</v>
      </c>
      <c r="V86" s="493">
        <f t="shared" si="12"/>
        <v>3990</v>
      </c>
      <c r="W86" s="493">
        <f t="shared" si="12"/>
        <v>930</v>
      </c>
      <c r="X86" s="493">
        <f t="shared" si="12"/>
        <v>9750</v>
      </c>
      <c r="Y86" s="489">
        <f t="shared" si="10"/>
        <v>379461</v>
      </c>
      <c r="Z86" s="491"/>
    </row>
    <row r="87" spans="1:26" s="387" customFormat="1" ht="12" customHeight="1">
      <c r="A87" s="1170"/>
      <c r="B87" s="494" t="s">
        <v>63</v>
      </c>
      <c r="C87" s="493">
        <f t="shared" si="11"/>
        <v>23966</v>
      </c>
      <c r="D87" s="493">
        <f t="shared" si="11"/>
        <v>21108</v>
      </c>
      <c r="E87" s="493">
        <f t="shared" si="11"/>
        <v>4453</v>
      </c>
      <c r="F87" s="493">
        <f t="shared" si="11"/>
        <v>0</v>
      </c>
      <c r="G87" s="493">
        <f t="shared" si="11"/>
        <v>2860</v>
      </c>
      <c r="H87" s="493">
        <f t="shared" si="11"/>
        <v>0</v>
      </c>
      <c r="I87" s="493">
        <f t="shared" si="11"/>
        <v>3317</v>
      </c>
      <c r="J87" s="493">
        <f t="shared" si="11"/>
        <v>0</v>
      </c>
      <c r="K87" s="493">
        <f t="shared" si="11"/>
        <v>0</v>
      </c>
      <c r="L87" s="493">
        <f t="shared" si="11"/>
        <v>627</v>
      </c>
      <c r="M87" s="493">
        <f t="shared" si="11"/>
        <v>0</v>
      </c>
      <c r="N87" s="489">
        <f t="shared" si="9"/>
        <v>35223</v>
      </c>
      <c r="O87" s="1170"/>
      <c r="P87" s="494" t="s">
        <v>63</v>
      </c>
      <c r="Q87" s="493">
        <f t="shared" si="12"/>
        <v>207998</v>
      </c>
      <c r="R87" s="493">
        <f t="shared" si="12"/>
        <v>65726</v>
      </c>
      <c r="S87" s="493">
        <f t="shared" si="12"/>
        <v>112833</v>
      </c>
      <c r="T87" s="493">
        <f t="shared" si="12"/>
        <v>48897</v>
      </c>
      <c r="U87" s="493">
        <f t="shared" si="12"/>
        <v>0</v>
      </c>
      <c r="V87" s="493">
        <f t="shared" si="12"/>
        <v>3990</v>
      </c>
      <c r="W87" s="493">
        <f t="shared" si="12"/>
        <v>930</v>
      </c>
      <c r="X87" s="493">
        <f t="shared" si="12"/>
        <v>9750</v>
      </c>
      <c r="Y87" s="489">
        <f t="shared" si="10"/>
        <v>401227</v>
      </c>
      <c r="Z87" s="491"/>
    </row>
    <row r="88" spans="1:26" s="387" customFormat="1" ht="12" customHeight="1">
      <c r="A88" s="1170"/>
      <c r="B88" s="494" t="s">
        <v>1088</v>
      </c>
      <c r="C88" s="493">
        <f aca="true" t="shared" si="13" ref="C88:F90">SUM(C78+C83)</f>
        <v>23966</v>
      </c>
      <c r="D88" s="493">
        <f t="shared" si="13"/>
        <v>21108</v>
      </c>
      <c r="E88" s="493">
        <f t="shared" si="13"/>
        <v>4453</v>
      </c>
      <c r="F88" s="493">
        <f t="shared" si="13"/>
        <v>0</v>
      </c>
      <c r="G88" s="493">
        <f>G78+G83</f>
        <v>2860</v>
      </c>
      <c r="H88" s="493">
        <f aca="true" t="shared" si="14" ref="H88:N90">SUM(H78+H83)</f>
        <v>0</v>
      </c>
      <c r="I88" s="493">
        <f t="shared" si="14"/>
        <v>3317</v>
      </c>
      <c r="J88" s="493">
        <f t="shared" si="14"/>
        <v>0</v>
      </c>
      <c r="K88" s="493">
        <f t="shared" si="14"/>
        <v>0</v>
      </c>
      <c r="L88" s="493">
        <f t="shared" si="14"/>
        <v>627</v>
      </c>
      <c r="M88" s="493">
        <f t="shared" si="14"/>
        <v>0</v>
      </c>
      <c r="N88" s="489">
        <f t="shared" si="14"/>
        <v>35223</v>
      </c>
      <c r="O88" s="1170"/>
      <c r="P88" s="494" t="s">
        <v>1088</v>
      </c>
      <c r="Q88" s="493">
        <f aca="true" t="shared" si="15" ref="Q88:R90">SUM(Q78+Q83)</f>
        <v>208340</v>
      </c>
      <c r="R88" s="493">
        <f t="shared" si="15"/>
        <v>65200</v>
      </c>
      <c r="S88" s="493">
        <f>S78+S83</f>
        <v>115082</v>
      </c>
      <c r="T88" s="493">
        <f aca="true" t="shared" si="16" ref="T88:Y90">SUM(T78+T83)</f>
        <v>48897</v>
      </c>
      <c r="U88" s="493">
        <f t="shared" si="16"/>
        <v>0</v>
      </c>
      <c r="V88" s="493">
        <f t="shared" si="16"/>
        <v>3835</v>
      </c>
      <c r="W88" s="493">
        <f t="shared" si="16"/>
        <v>1058</v>
      </c>
      <c r="X88" s="493">
        <f t="shared" si="16"/>
        <v>8903</v>
      </c>
      <c r="Y88" s="489">
        <f t="shared" si="16"/>
        <v>402418</v>
      </c>
      <c r="Z88" s="491"/>
    </row>
    <row r="89" spans="1:26" s="387" customFormat="1" ht="12" customHeight="1">
      <c r="A89" s="1170"/>
      <c r="B89" s="492" t="s">
        <v>417</v>
      </c>
      <c r="C89" s="493">
        <f t="shared" si="13"/>
        <v>23966</v>
      </c>
      <c r="D89" s="493">
        <f t="shared" si="13"/>
        <v>21108</v>
      </c>
      <c r="E89" s="493">
        <f t="shared" si="13"/>
        <v>4453</v>
      </c>
      <c r="F89" s="493">
        <f t="shared" si="13"/>
        <v>0</v>
      </c>
      <c r="G89" s="493">
        <f>SUM(G79+G84)</f>
        <v>5190</v>
      </c>
      <c r="H89" s="493">
        <f t="shared" si="14"/>
        <v>0</v>
      </c>
      <c r="I89" s="493">
        <f t="shared" si="14"/>
        <v>3399</v>
      </c>
      <c r="J89" s="493">
        <f t="shared" si="14"/>
        <v>0</v>
      </c>
      <c r="K89" s="493">
        <f t="shared" si="14"/>
        <v>0</v>
      </c>
      <c r="L89" s="493">
        <f t="shared" si="14"/>
        <v>627</v>
      </c>
      <c r="M89" s="493">
        <f t="shared" si="14"/>
        <v>0</v>
      </c>
      <c r="N89" s="489">
        <f t="shared" si="14"/>
        <v>37635</v>
      </c>
      <c r="O89" s="1170"/>
      <c r="P89" s="492" t="s">
        <v>417</v>
      </c>
      <c r="Q89" s="493">
        <f t="shared" si="15"/>
        <v>208530</v>
      </c>
      <c r="R89" s="493">
        <f t="shared" si="15"/>
        <v>63153</v>
      </c>
      <c r="S89" s="493">
        <f>S79+S84</f>
        <v>117455</v>
      </c>
      <c r="T89" s="493">
        <f t="shared" si="16"/>
        <v>48897</v>
      </c>
      <c r="U89" s="493">
        <f t="shared" si="16"/>
        <v>0</v>
      </c>
      <c r="V89" s="493">
        <f t="shared" si="16"/>
        <v>3835</v>
      </c>
      <c r="W89" s="493">
        <f t="shared" si="16"/>
        <v>3054</v>
      </c>
      <c r="X89" s="493">
        <f t="shared" si="16"/>
        <v>8903</v>
      </c>
      <c r="Y89" s="489">
        <f t="shared" si="16"/>
        <v>404930</v>
      </c>
      <c r="Z89" s="491"/>
    </row>
    <row r="90" spans="1:26" s="387" customFormat="1" ht="12" customHeight="1">
      <c r="A90" s="1171"/>
      <c r="B90" s="492" t="s">
        <v>386</v>
      </c>
      <c r="C90" s="493">
        <f t="shared" si="13"/>
        <v>24509</v>
      </c>
      <c r="D90" s="493">
        <f t="shared" si="13"/>
        <v>22068</v>
      </c>
      <c r="E90" s="493">
        <f t="shared" si="13"/>
        <v>5383</v>
      </c>
      <c r="F90" s="493">
        <f t="shared" si="13"/>
        <v>0</v>
      </c>
      <c r="G90" s="493">
        <f>SUM(G80+G85)</f>
        <v>5190</v>
      </c>
      <c r="H90" s="493">
        <f t="shared" si="14"/>
        <v>0</v>
      </c>
      <c r="I90" s="493">
        <f t="shared" si="14"/>
        <v>3399</v>
      </c>
      <c r="J90" s="493">
        <f t="shared" si="14"/>
        <v>0</v>
      </c>
      <c r="K90" s="493">
        <f t="shared" si="14"/>
        <v>0</v>
      </c>
      <c r="L90" s="493">
        <f t="shared" si="14"/>
        <v>627</v>
      </c>
      <c r="M90" s="493">
        <f t="shared" si="14"/>
        <v>0</v>
      </c>
      <c r="N90" s="489">
        <f t="shared" si="14"/>
        <v>39108</v>
      </c>
      <c r="O90" s="1171"/>
      <c r="P90" s="492" t="s">
        <v>386</v>
      </c>
      <c r="Q90" s="493">
        <f t="shared" si="15"/>
        <v>205494</v>
      </c>
      <c r="R90" s="493">
        <f t="shared" si="15"/>
        <v>62944</v>
      </c>
      <c r="S90" s="493">
        <f>S80+S85</f>
        <v>117429</v>
      </c>
      <c r="T90" s="493">
        <f t="shared" si="16"/>
        <v>30271</v>
      </c>
      <c r="U90" s="493">
        <f t="shared" si="16"/>
        <v>0</v>
      </c>
      <c r="V90" s="493">
        <f t="shared" si="16"/>
        <v>3835</v>
      </c>
      <c r="W90" s="493">
        <f t="shared" si="16"/>
        <v>2124</v>
      </c>
      <c r="X90" s="493">
        <f t="shared" si="16"/>
        <v>4503</v>
      </c>
      <c r="Y90" s="489">
        <f t="shared" si="16"/>
        <v>396329</v>
      </c>
      <c r="Z90" s="491"/>
    </row>
    <row r="91" spans="1:26" ht="12" customHeight="1">
      <c r="A91" s="1150" t="s">
        <v>51</v>
      </c>
      <c r="B91" s="487" t="s">
        <v>512</v>
      </c>
      <c r="C91" s="488">
        <v>3600</v>
      </c>
      <c r="D91" s="488"/>
      <c r="E91" s="488"/>
      <c r="F91" s="488"/>
      <c r="G91" s="488"/>
      <c r="H91" s="488"/>
      <c r="I91" s="488"/>
      <c r="J91" s="488"/>
      <c r="K91" s="488"/>
      <c r="L91" s="488"/>
      <c r="M91" s="488"/>
      <c r="N91" s="489">
        <f aca="true" t="shared" si="17" ref="N91:N110">SUM(C91:M91)-D91</f>
        <v>3600</v>
      </c>
      <c r="O91" s="1150" t="s">
        <v>51</v>
      </c>
      <c r="P91" s="487" t="s">
        <v>512</v>
      </c>
      <c r="Q91" s="490">
        <v>51982</v>
      </c>
      <c r="R91" s="490">
        <v>16315</v>
      </c>
      <c r="S91" s="488">
        <v>5962</v>
      </c>
      <c r="T91" s="488"/>
      <c r="U91" s="488"/>
      <c r="V91" s="488"/>
      <c r="W91" s="488"/>
      <c r="X91" s="488"/>
      <c r="Y91" s="489">
        <f aca="true" t="shared" si="18" ref="Y91:Y114">SUM(Q91:X91)-T91</f>
        <v>74259</v>
      </c>
      <c r="Z91" s="491"/>
    </row>
    <row r="92" spans="1:26" ht="12" customHeight="1">
      <c r="A92" s="1151"/>
      <c r="B92" s="487" t="s">
        <v>63</v>
      </c>
      <c r="C92" s="488">
        <v>3600</v>
      </c>
      <c r="D92" s="488"/>
      <c r="E92" s="488"/>
      <c r="F92" s="488"/>
      <c r="G92" s="488"/>
      <c r="H92" s="488"/>
      <c r="I92" s="488"/>
      <c r="J92" s="488"/>
      <c r="K92" s="488"/>
      <c r="L92" s="488">
        <v>343</v>
      </c>
      <c r="M92" s="488"/>
      <c r="N92" s="489">
        <f t="shared" si="17"/>
        <v>3943</v>
      </c>
      <c r="O92" s="1151"/>
      <c r="P92" s="487" t="s">
        <v>63</v>
      </c>
      <c r="Q92" s="490">
        <f>53321+369+573-305</f>
        <v>53958</v>
      </c>
      <c r="R92" s="490">
        <f>16743+106+184-96</f>
        <v>16937</v>
      </c>
      <c r="S92" s="488">
        <f>6562+2755+401</f>
        <v>9718</v>
      </c>
      <c r="T92" s="488"/>
      <c r="U92" s="488"/>
      <c r="V92" s="488"/>
      <c r="W92" s="488"/>
      <c r="X92" s="488"/>
      <c r="Y92" s="489">
        <f t="shared" si="18"/>
        <v>80613</v>
      </c>
      <c r="Z92" s="491"/>
    </row>
    <row r="93" spans="1:26" ht="12" customHeight="1">
      <c r="A93" s="1151"/>
      <c r="B93" s="487" t="s">
        <v>1088</v>
      </c>
      <c r="C93" s="488">
        <v>3600</v>
      </c>
      <c r="D93" s="488"/>
      <c r="E93" s="488"/>
      <c r="F93" s="488"/>
      <c r="G93" s="386">
        <v>60</v>
      </c>
      <c r="H93" s="488"/>
      <c r="I93" s="488">
        <v>500</v>
      </c>
      <c r="J93" s="488"/>
      <c r="K93" s="488"/>
      <c r="L93" s="488">
        <v>343</v>
      </c>
      <c r="M93" s="488"/>
      <c r="N93" s="489">
        <f t="shared" si="17"/>
        <v>4503</v>
      </c>
      <c r="O93" s="1151"/>
      <c r="P93" s="487" t="s">
        <v>1088</v>
      </c>
      <c r="Q93" s="490">
        <f>53321+369+573-305+386</f>
        <v>54344</v>
      </c>
      <c r="R93" s="490">
        <f>16743+106+184-96-386</f>
        <v>16551</v>
      </c>
      <c r="S93" s="488">
        <f>6562+2755+401</f>
        <v>9718</v>
      </c>
      <c r="T93" s="488"/>
      <c r="U93" s="488"/>
      <c r="V93" s="488"/>
      <c r="W93" s="488">
        <f>500+60</f>
        <v>560</v>
      </c>
      <c r="X93" s="488"/>
      <c r="Y93" s="489">
        <f t="shared" si="18"/>
        <v>81173</v>
      </c>
      <c r="Z93" s="491"/>
    </row>
    <row r="94" spans="1:26" ht="12" customHeight="1">
      <c r="A94" s="1151"/>
      <c r="B94" s="487" t="s">
        <v>417</v>
      </c>
      <c r="C94" s="488">
        <v>3600</v>
      </c>
      <c r="D94" s="488"/>
      <c r="E94" s="488"/>
      <c r="F94" s="488"/>
      <c r="G94" s="488">
        <v>60</v>
      </c>
      <c r="H94" s="488"/>
      <c r="I94" s="488">
        <v>500</v>
      </c>
      <c r="J94" s="488"/>
      <c r="K94" s="488"/>
      <c r="L94" s="488">
        <v>343</v>
      </c>
      <c r="M94" s="488"/>
      <c r="N94" s="489">
        <f t="shared" si="17"/>
        <v>4503</v>
      </c>
      <c r="O94" s="1151"/>
      <c r="P94" s="487" t="s">
        <v>417</v>
      </c>
      <c r="Q94" s="490">
        <f>53321+369+573-305+386+110</f>
        <v>54454</v>
      </c>
      <c r="R94" s="490">
        <f>16743+106+184-96-386-110</f>
        <v>16441</v>
      </c>
      <c r="S94" s="488">
        <f>6562+2755+401-1643</f>
        <v>8075</v>
      </c>
      <c r="T94" s="488"/>
      <c r="U94" s="488"/>
      <c r="V94" s="488"/>
      <c r="W94" s="488">
        <f>500+60+1643</f>
        <v>2203</v>
      </c>
      <c r="X94" s="488"/>
      <c r="Y94" s="489">
        <f t="shared" si="18"/>
        <v>81173</v>
      </c>
      <c r="Z94" s="491"/>
    </row>
    <row r="95" spans="1:26" ht="12" customHeight="1">
      <c r="A95" s="1152"/>
      <c r="B95" s="487" t="s">
        <v>386</v>
      </c>
      <c r="C95" s="488">
        <v>4591</v>
      </c>
      <c r="D95" s="488"/>
      <c r="E95" s="488"/>
      <c r="F95" s="488"/>
      <c r="G95" s="488">
        <v>60</v>
      </c>
      <c r="H95" s="488"/>
      <c r="I95" s="488">
        <v>500</v>
      </c>
      <c r="J95" s="488"/>
      <c r="K95" s="488"/>
      <c r="L95" s="488">
        <v>343</v>
      </c>
      <c r="M95" s="488"/>
      <c r="N95" s="489">
        <f t="shared" si="17"/>
        <v>5494</v>
      </c>
      <c r="O95" s="1152"/>
      <c r="P95" s="487" t="s">
        <v>386</v>
      </c>
      <c r="Q95" s="490">
        <v>53379</v>
      </c>
      <c r="R95" s="490">
        <v>15847</v>
      </c>
      <c r="S95" s="488">
        <v>8023</v>
      </c>
      <c r="T95" s="488"/>
      <c r="U95" s="488"/>
      <c r="V95" s="488"/>
      <c r="W95" s="488">
        <v>2203</v>
      </c>
      <c r="X95" s="488"/>
      <c r="Y95" s="489">
        <f t="shared" si="18"/>
        <v>79452</v>
      </c>
      <c r="Z95" s="491"/>
    </row>
    <row r="96" spans="1:26" ht="12" customHeight="1">
      <c r="A96" s="1150" t="s">
        <v>427</v>
      </c>
      <c r="B96" s="487" t="s">
        <v>512</v>
      </c>
      <c r="C96" s="488">
        <v>1100</v>
      </c>
      <c r="D96" s="488"/>
      <c r="E96" s="488">
        <v>220</v>
      </c>
      <c r="F96" s="488"/>
      <c r="G96" s="488"/>
      <c r="H96" s="488"/>
      <c r="I96" s="488"/>
      <c r="J96" s="488"/>
      <c r="K96" s="488"/>
      <c r="L96" s="488"/>
      <c r="M96" s="488"/>
      <c r="N96" s="489">
        <f t="shared" si="17"/>
        <v>1320</v>
      </c>
      <c r="O96" s="1150" t="s">
        <v>427</v>
      </c>
      <c r="P96" s="487" t="s">
        <v>512</v>
      </c>
      <c r="Q96" s="490">
        <v>22549</v>
      </c>
      <c r="R96" s="490">
        <v>7203</v>
      </c>
      <c r="S96" s="488">
        <v>18512</v>
      </c>
      <c r="T96" s="488"/>
      <c r="U96" s="488"/>
      <c r="V96" s="488"/>
      <c r="W96" s="488"/>
      <c r="X96" s="488"/>
      <c r="Y96" s="489">
        <f t="shared" si="18"/>
        <v>48264</v>
      </c>
      <c r="Z96" s="491"/>
    </row>
    <row r="97" spans="1:26" ht="12" customHeight="1">
      <c r="A97" s="1151"/>
      <c r="B97" s="487" t="s">
        <v>63</v>
      </c>
      <c r="C97" s="488">
        <v>1100</v>
      </c>
      <c r="D97" s="488"/>
      <c r="E97" s="488">
        <v>220</v>
      </c>
      <c r="F97" s="488"/>
      <c r="G97" s="488"/>
      <c r="H97" s="488"/>
      <c r="I97" s="488">
        <v>1680</v>
      </c>
      <c r="J97" s="488"/>
      <c r="K97" s="488"/>
      <c r="L97" s="488">
        <v>893</v>
      </c>
      <c r="M97" s="488"/>
      <c r="N97" s="489">
        <f t="shared" si="17"/>
        <v>3893</v>
      </c>
      <c r="O97" s="1151"/>
      <c r="P97" s="487" t="s">
        <v>63</v>
      </c>
      <c r="Q97" s="490">
        <v>23178</v>
      </c>
      <c r="R97" s="490">
        <f>7351+54</f>
        <v>7405</v>
      </c>
      <c r="S97" s="488">
        <f>19758+1200+1680</f>
        <v>22638</v>
      </c>
      <c r="T97" s="488"/>
      <c r="U97" s="488"/>
      <c r="V97" s="488"/>
      <c r="W97" s="488"/>
      <c r="X97" s="488"/>
      <c r="Y97" s="489">
        <f t="shared" si="18"/>
        <v>53221</v>
      </c>
      <c r="Z97" s="491"/>
    </row>
    <row r="98" spans="1:26" ht="12" customHeight="1">
      <c r="A98" s="1151"/>
      <c r="B98" s="487" t="s">
        <v>1088</v>
      </c>
      <c r="C98" s="488">
        <f>1100+681</f>
        <v>1781</v>
      </c>
      <c r="D98" s="488"/>
      <c r="E98" s="488">
        <v>220</v>
      </c>
      <c r="F98" s="488"/>
      <c r="G98" s="488">
        <v>20</v>
      </c>
      <c r="H98" s="488"/>
      <c r="I98" s="488">
        <f>1680+670</f>
        <v>2350</v>
      </c>
      <c r="J98" s="488"/>
      <c r="K98" s="488"/>
      <c r="L98" s="488">
        <v>893</v>
      </c>
      <c r="M98" s="488"/>
      <c r="N98" s="489">
        <f t="shared" si="17"/>
        <v>5264</v>
      </c>
      <c r="O98" s="1151"/>
      <c r="P98" s="487" t="s">
        <v>1088</v>
      </c>
      <c r="Q98" s="490">
        <f>23178-1030+129</f>
        <v>22277</v>
      </c>
      <c r="R98" s="490">
        <f>7351+54-129</f>
        <v>7276</v>
      </c>
      <c r="S98" s="488">
        <f>19758+1200+1680+681+470+20+1030</f>
        <v>24839</v>
      </c>
      <c r="T98" s="488"/>
      <c r="U98" s="488"/>
      <c r="V98" s="488"/>
      <c r="W98" s="488">
        <v>200</v>
      </c>
      <c r="X98" s="488"/>
      <c r="Y98" s="489">
        <f t="shared" si="18"/>
        <v>54592</v>
      </c>
      <c r="Z98" s="491"/>
    </row>
    <row r="99" spans="1:26" ht="12" customHeight="1">
      <c r="A99" s="1151"/>
      <c r="B99" s="487" t="s">
        <v>417</v>
      </c>
      <c r="C99" s="488">
        <f>1100+681+35</f>
        <v>1816</v>
      </c>
      <c r="D99" s="488"/>
      <c r="E99" s="488">
        <v>220</v>
      </c>
      <c r="F99" s="488"/>
      <c r="G99" s="488">
        <v>20</v>
      </c>
      <c r="H99" s="488"/>
      <c r="I99" s="488">
        <f>1680+670</f>
        <v>2350</v>
      </c>
      <c r="J99" s="488"/>
      <c r="K99" s="488"/>
      <c r="L99" s="488">
        <v>893</v>
      </c>
      <c r="M99" s="488"/>
      <c r="N99" s="489">
        <f t="shared" si="17"/>
        <v>5299</v>
      </c>
      <c r="O99" s="1151"/>
      <c r="P99" s="487" t="s">
        <v>417</v>
      </c>
      <c r="Q99" s="490">
        <f>23178-1030+129+60</f>
        <v>22337</v>
      </c>
      <c r="R99" s="490">
        <f>7351+54-129-60</f>
        <v>7216</v>
      </c>
      <c r="S99" s="488">
        <f>19758+1200+1680+681+470+20+1030+35-1787</f>
        <v>23087</v>
      </c>
      <c r="T99" s="488"/>
      <c r="U99" s="488"/>
      <c r="V99" s="488"/>
      <c r="W99" s="488">
        <f>200+1787</f>
        <v>1987</v>
      </c>
      <c r="X99" s="488"/>
      <c r="Y99" s="489">
        <f t="shared" si="18"/>
        <v>54627</v>
      </c>
      <c r="Z99" s="491"/>
    </row>
    <row r="100" spans="1:26" ht="12" customHeight="1">
      <c r="A100" s="1152"/>
      <c r="B100" s="487" t="s">
        <v>386</v>
      </c>
      <c r="C100" s="488">
        <v>2241</v>
      </c>
      <c r="D100" s="488"/>
      <c r="E100" s="488">
        <v>416</v>
      </c>
      <c r="F100" s="488"/>
      <c r="G100" s="488">
        <v>20</v>
      </c>
      <c r="H100" s="488"/>
      <c r="I100" s="488">
        <v>2350</v>
      </c>
      <c r="J100" s="488"/>
      <c r="K100" s="488"/>
      <c r="L100" s="488">
        <v>893</v>
      </c>
      <c r="M100" s="488"/>
      <c r="N100" s="489">
        <f t="shared" si="17"/>
        <v>5920</v>
      </c>
      <c r="O100" s="1152"/>
      <c r="P100" s="487" t="s">
        <v>386</v>
      </c>
      <c r="Q100" s="490">
        <v>21648</v>
      </c>
      <c r="R100" s="490">
        <v>6105</v>
      </c>
      <c r="S100" s="488">
        <v>21094</v>
      </c>
      <c r="T100" s="488"/>
      <c r="U100" s="488"/>
      <c r="V100" s="488"/>
      <c r="W100" s="488">
        <v>1987</v>
      </c>
      <c r="X100" s="488"/>
      <c r="Y100" s="489">
        <f t="shared" si="18"/>
        <v>50834</v>
      </c>
      <c r="Z100" s="491"/>
    </row>
    <row r="101" spans="1:26" ht="12" customHeight="1">
      <c r="A101" s="1150" t="s">
        <v>428</v>
      </c>
      <c r="B101" s="487" t="s">
        <v>512</v>
      </c>
      <c r="C101" s="488">
        <v>9029</v>
      </c>
      <c r="D101" s="488">
        <v>5929</v>
      </c>
      <c r="E101" s="488">
        <v>240</v>
      </c>
      <c r="F101" s="488"/>
      <c r="G101" s="488"/>
      <c r="H101" s="488"/>
      <c r="I101" s="488"/>
      <c r="J101" s="488"/>
      <c r="K101" s="488"/>
      <c r="L101" s="488"/>
      <c r="M101" s="488"/>
      <c r="N101" s="489">
        <f t="shared" si="17"/>
        <v>9269</v>
      </c>
      <c r="O101" s="1150" t="s">
        <v>428</v>
      </c>
      <c r="P101" s="487" t="s">
        <v>512</v>
      </c>
      <c r="Q101" s="490">
        <v>98179</v>
      </c>
      <c r="R101" s="490">
        <v>30558</v>
      </c>
      <c r="S101" s="488">
        <v>33397</v>
      </c>
      <c r="T101" s="488">
        <v>11024</v>
      </c>
      <c r="U101" s="488"/>
      <c r="V101" s="488"/>
      <c r="W101" s="488"/>
      <c r="X101" s="488">
        <v>2500</v>
      </c>
      <c r="Y101" s="489">
        <f t="shared" si="18"/>
        <v>164634</v>
      </c>
      <c r="Z101" s="491"/>
    </row>
    <row r="102" spans="1:26" ht="12" customHeight="1">
      <c r="A102" s="1151"/>
      <c r="B102" s="487" t="s">
        <v>63</v>
      </c>
      <c r="C102" s="488">
        <v>9333</v>
      </c>
      <c r="D102" s="488">
        <v>5929</v>
      </c>
      <c r="E102" s="488">
        <v>240</v>
      </c>
      <c r="F102" s="488"/>
      <c r="G102" s="488">
        <f>1967+608+713</f>
        <v>3288</v>
      </c>
      <c r="H102" s="488">
        <v>9100</v>
      </c>
      <c r="I102" s="488">
        <f>168+430</f>
        <v>598</v>
      </c>
      <c r="J102" s="488"/>
      <c r="K102" s="488"/>
      <c r="L102" s="488">
        <v>8392</v>
      </c>
      <c r="M102" s="488"/>
      <c r="N102" s="489">
        <f t="shared" si="17"/>
        <v>30951</v>
      </c>
      <c r="O102" s="1151"/>
      <c r="P102" s="487" t="s">
        <v>63</v>
      </c>
      <c r="Q102" s="490">
        <f>102737+260+916-1586+343+326</f>
        <v>102996</v>
      </c>
      <c r="R102" s="490">
        <f>31952+293-488+110+104</f>
        <v>31971</v>
      </c>
      <c r="S102" s="488">
        <f>37869+1100+574+868</f>
        <v>40411</v>
      </c>
      <c r="T102" s="488">
        <v>11024</v>
      </c>
      <c r="U102" s="488"/>
      <c r="V102" s="488">
        <v>720</v>
      </c>
      <c r="W102" s="488">
        <f>3000+1500+4000+9100</f>
        <v>17600</v>
      </c>
      <c r="X102" s="488">
        <f>2500-2500</f>
        <v>0</v>
      </c>
      <c r="Y102" s="489">
        <f t="shared" si="18"/>
        <v>193698</v>
      </c>
      <c r="Z102" s="491"/>
    </row>
    <row r="103" spans="1:26" ht="12" customHeight="1">
      <c r="A103" s="1151"/>
      <c r="B103" s="487" t="s">
        <v>1088</v>
      </c>
      <c r="C103" s="488">
        <f>9333+1200+1500-1500</f>
        <v>10533</v>
      </c>
      <c r="D103" s="488">
        <v>5929</v>
      </c>
      <c r="E103" s="488">
        <f>240+1500</f>
        <v>1740</v>
      </c>
      <c r="F103" s="488"/>
      <c r="G103" s="488">
        <f>1967+608+713</f>
        <v>3288</v>
      </c>
      <c r="H103" s="488">
        <v>9100</v>
      </c>
      <c r="I103" s="488">
        <f>168+430</f>
        <v>598</v>
      </c>
      <c r="J103" s="488"/>
      <c r="K103" s="488">
        <v>1500</v>
      </c>
      <c r="L103" s="488">
        <v>8392</v>
      </c>
      <c r="M103" s="488"/>
      <c r="N103" s="489">
        <f t="shared" si="17"/>
        <v>35151</v>
      </c>
      <c r="O103" s="1151"/>
      <c r="P103" s="487" t="s">
        <v>1088</v>
      </c>
      <c r="Q103" s="490">
        <f>102737+260+916-1586+343+326-600+1085-2000</f>
        <v>101481</v>
      </c>
      <c r="R103" s="490">
        <f>31952+293-488+110+104-200-850-1085</f>
        <v>29836</v>
      </c>
      <c r="S103" s="488">
        <f>37869+1100+574+868+1200-1350+600+200+2400-1500</f>
        <v>41961</v>
      </c>
      <c r="T103" s="488">
        <v>11024</v>
      </c>
      <c r="U103" s="488"/>
      <c r="V103" s="488">
        <v>720</v>
      </c>
      <c r="W103" s="488">
        <f>3000+1500+4000+9100+1350-2400+850+6500</f>
        <v>23900</v>
      </c>
      <c r="X103" s="488">
        <f>2500-2500</f>
        <v>0</v>
      </c>
      <c r="Y103" s="489">
        <f t="shared" si="18"/>
        <v>197898</v>
      </c>
      <c r="Z103" s="491"/>
    </row>
    <row r="104" spans="1:26" ht="12" customHeight="1">
      <c r="A104" s="1151"/>
      <c r="B104" s="487" t="s">
        <v>417</v>
      </c>
      <c r="C104" s="488">
        <f>9333+1200+1500+542-1500</f>
        <v>11075</v>
      </c>
      <c r="D104" s="488">
        <v>5929</v>
      </c>
      <c r="E104" s="488">
        <f>240+1500</f>
        <v>1740</v>
      </c>
      <c r="F104" s="488"/>
      <c r="G104" s="488">
        <f>1967+608+713</f>
        <v>3288</v>
      </c>
      <c r="H104" s="488">
        <v>9100</v>
      </c>
      <c r="I104" s="488">
        <f>168+430</f>
        <v>598</v>
      </c>
      <c r="J104" s="488"/>
      <c r="K104" s="488">
        <v>1500</v>
      </c>
      <c r="L104" s="488">
        <v>8392</v>
      </c>
      <c r="M104" s="488"/>
      <c r="N104" s="489">
        <f t="shared" si="17"/>
        <v>35693</v>
      </c>
      <c r="O104" s="1151"/>
      <c r="P104" s="487" t="s">
        <v>417</v>
      </c>
      <c r="Q104" s="490">
        <f>102737+260+916-1586+343+326-600+1085-2000+400-571</f>
        <v>101310</v>
      </c>
      <c r="R104" s="490">
        <f>31952+293-488+110+104-200-850-1085-400+500</f>
        <v>29936</v>
      </c>
      <c r="S104" s="488">
        <f>37869+1100+574+868+1200-1350+600+200+2400-1500+542</f>
        <v>42503</v>
      </c>
      <c r="T104" s="488">
        <v>11024</v>
      </c>
      <c r="U104" s="488">
        <v>71</v>
      </c>
      <c r="V104" s="488">
        <v>720</v>
      </c>
      <c r="W104" s="488">
        <f>3000+1500+4000+9100+1350-2400+850+6500</f>
        <v>23900</v>
      </c>
      <c r="X104" s="488">
        <f>2500-2500</f>
        <v>0</v>
      </c>
      <c r="Y104" s="489">
        <f t="shared" si="18"/>
        <v>198440</v>
      </c>
      <c r="Z104" s="491"/>
    </row>
    <row r="105" spans="1:26" ht="12" customHeight="1">
      <c r="A105" s="1152"/>
      <c r="B105" s="487" t="s">
        <v>386</v>
      </c>
      <c r="C105" s="488">
        <v>11540</v>
      </c>
      <c r="D105" s="488">
        <v>6008</v>
      </c>
      <c r="E105" s="488">
        <v>4821</v>
      </c>
      <c r="F105" s="488"/>
      <c r="G105" s="488">
        <v>3288</v>
      </c>
      <c r="H105" s="488">
        <v>9100</v>
      </c>
      <c r="I105" s="488">
        <v>598</v>
      </c>
      <c r="J105" s="488"/>
      <c r="K105" s="488">
        <v>1500</v>
      </c>
      <c r="L105" s="488">
        <v>8392</v>
      </c>
      <c r="M105" s="488"/>
      <c r="N105" s="489">
        <f t="shared" si="17"/>
        <v>39239</v>
      </c>
      <c r="O105" s="1152"/>
      <c r="P105" s="487" t="s">
        <v>386</v>
      </c>
      <c r="Q105" s="490">
        <v>99391</v>
      </c>
      <c r="R105" s="490">
        <v>29890</v>
      </c>
      <c r="S105" s="488">
        <v>41805</v>
      </c>
      <c r="T105" s="488">
        <v>10632</v>
      </c>
      <c r="U105" s="488">
        <v>71</v>
      </c>
      <c r="V105" s="488">
        <v>720</v>
      </c>
      <c r="W105" s="488">
        <v>23625</v>
      </c>
      <c r="X105" s="488"/>
      <c r="Y105" s="489">
        <f t="shared" si="18"/>
        <v>195502</v>
      </c>
      <c r="Z105" s="491"/>
    </row>
    <row r="106" spans="1:26" ht="12" customHeight="1">
      <c r="A106" s="1150" t="s">
        <v>1282</v>
      </c>
      <c r="B106" s="487" t="s">
        <v>512</v>
      </c>
      <c r="C106" s="488">
        <v>606</v>
      </c>
      <c r="D106" s="488"/>
      <c r="E106" s="488">
        <v>2621</v>
      </c>
      <c r="F106" s="488"/>
      <c r="G106" s="488"/>
      <c r="H106" s="488"/>
      <c r="I106" s="488"/>
      <c r="J106" s="488"/>
      <c r="K106" s="488"/>
      <c r="L106" s="488"/>
      <c r="M106" s="488"/>
      <c r="N106" s="489">
        <f t="shared" si="17"/>
        <v>3227</v>
      </c>
      <c r="O106" s="1150" t="s">
        <v>1282</v>
      </c>
      <c r="P106" s="487" t="s">
        <v>512</v>
      </c>
      <c r="Q106" s="490">
        <v>17449</v>
      </c>
      <c r="R106" s="490">
        <v>5507</v>
      </c>
      <c r="S106" s="488">
        <v>8148</v>
      </c>
      <c r="T106" s="488"/>
      <c r="U106" s="488"/>
      <c r="V106" s="488"/>
      <c r="W106" s="488"/>
      <c r="X106" s="488">
        <v>1500</v>
      </c>
      <c r="Y106" s="489">
        <f t="shared" si="18"/>
        <v>32604</v>
      </c>
      <c r="Z106" s="491"/>
    </row>
    <row r="107" spans="1:26" ht="12" customHeight="1">
      <c r="A107" s="1151"/>
      <c r="B107" s="487" t="s">
        <v>63</v>
      </c>
      <c r="C107" s="488">
        <v>606</v>
      </c>
      <c r="D107" s="488"/>
      <c r="E107" s="488">
        <v>2621</v>
      </c>
      <c r="F107" s="488"/>
      <c r="G107" s="488"/>
      <c r="H107" s="488"/>
      <c r="I107" s="488"/>
      <c r="J107" s="488"/>
      <c r="K107" s="488"/>
      <c r="L107" s="488">
        <v>845</v>
      </c>
      <c r="M107" s="488"/>
      <c r="N107" s="489">
        <f t="shared" si="17"/>
        <v>4072</v>
      </c>
      <c r="O107" s="1151"/>
      <c r="P107" s="487" t="s">
        <v>63</v>
      </c>
      <c r="Q107" s="490">
        <v>18540</v>
      </c>
      <c r="R107" s="490">
        <f>6052+64-252</f>
        <v>5864</v>
      </c>
      <c r="S107" s="488">
        <v>8784</v>
      </c>
      <c r="T107" s="488"/>
      <c r="U107" s="488"/>
      <c r="V107" s="488"/>
      <c r="W107" s="488"/>
      <c r="X107" s="488">
        <v>1500</v>
      </c>
      <c r="Y107" s="489">
        <f t="shared" si="18"/>
        <v>34688</v>
      </c>
      <c r="Z107" s="491"/>
    </row>
    <row r="108" spans="1:26" ht="12" customHeight="1">
      <c r="A108" s="1151"/>
      <c r="B108" s="487" t="s">
        <v>1088</v>
      </c>
      <c r="C108" s="488">
        <f>606+751</f>
        <v>1357</v>
      </c>
      <c r="D108" s="488"/>
      <c r="E108" s="488">
        <f>2621+3990</f>
        <v>6611</v>
      </c>
      <c r="F108" s="488">
        <v>333</v>
      </c>
      <c r="G108" s="488"/>
      <c r="H108" s="488"/>
      <c r="I108" s="488"/>
      <c r="J108" s="488"/>
      <c r="K108" s="488"/>
      <c r="L108" s="488">
        <v>845</v>
      </c>
      <c r="M108" s="488"/>
      <c r="N108" s="489">
        <f t="shared" si="17"/>
        <v>9146</v>
      </c>
      <c r="O108" s="1151"/>
      <c r="P108" s="487" t="s">
        <v>1088</v>
      </c>
      <c r="Q108" s="490">
        <f>18540+300+236</f>
        <v>19076</v>
      </c>
      <c r="R108" s="490">
        <f>6052+64-252+100-236</f>
        <v>5728</v>
      </c>
      <c r="S108" s="488">
        <f>8784+351+3990+333-183-150</f>
        <v>13125</v>
      </c>
      <c r="T108" s="488"/>
      <c r="U108" s="488"/>
      <c r="V108" s="488"/>
      <c r="W108" s="488"/>
      <c r="X108" s="488">
        <v>1500</v>
      </c>
      <c r="Y108" s="489">
        <f t="shared" si="18"/>
        <v>39429</v>
      </c>
      <c r="Z108" s="491"/>
    </row>
    <row r="109" spans="1:26" ht="12" customHeight="1">
      <c r="A109" s="1151"/>
      <c r="B109" s="487" t="s">
        <v>417</v>
      </c>
      <c r="C109" s="488">
        <f>606+751</f>
        <v>1357</v>
      </c>
      <c r="D109" s="488"/>
      <c r="E109" s="488">
        <f>2621+3990</f>
        <v>6611</v>
      </c>
      <c r="F109" s="488">
        <v>333</v>
      </c>
      <c r="G109" s="488"/>
      <c r="H109" s="488"/>
      <c r="I109" s="488"/>
      <c r="J109" s="488"/>
      <c r="K109" s="488"/>
      <c r="L109" s="488">
        <v>845</v>
      </c>
      <c r="M109" s="488"/>
      <c r="N109" s="489">
        <f t="shared" si="17"/>
        <v>9146</v>
      </c>
      <c r="O109" s="1151"/>
      <c r="P109" s="487" t="s">
        <v>417</v>
      </c>
      <c r="Q109" s="490">
        <f>18540+300+236+80</f>
        <v>19156</v>
      </c>
      <c r="R109" s="490">
        <f>6052+64-252+100-236-80</f>
        <v>5648</v>
      </c>
      <c r="S109" s="488">
        <f>8784+351+3990+333-183-150-2986</f>
        <v>10139</v>
      </c>
      <c r="T109" s="488"/>
      <c r="U109" s="488"/>
      <c r="V109" s="488"/>
      <c r="W109" s="488"/>
      <c r="X109" s="488">
        <v>1500</v>
      </c>
      <c r="Y109" s="489">
        <f t="shared" si="18"/>
        <v>36443</v>
      </c>
      <c r="Z109" s="491"/>
    </row>
    <row r="110" spans="1:26" ht="12" customHeight="1">
      <c r="A110" s="1152"/>
      <c r="B110" s="487" t="s">
        <v>386</v>
      </c>
      <c r="C110" s="488">
        <v>1773</v>
      </c>
      <c r="D110" s="488"/>
      <c r="E110" s="488">
        <v>8730</v>
      </c>
      <c r="F110" s="488">
        <v>486</v>
      </c>
      <c r="G110" s="488"/>
      <c r="H110" s="488"/>
      <c r="I110" s="488"/>
      <c r="J110" s="488"/>
      <c r="K110" s="488"/>
      <c r="L110" s="488">
        <v>845</v>
      </c>
      <c r="M110" s="488"/>
      <c r="N110" s="489">
        <f t="shared" si="17"/>
        <v>11834</v>
      </c>
      <c r="O110" s="1152"/>
      <c r="P110" s="487" t="s">
        <v>386</v>
      </c>
      <c r="Q110" s="490">
        <v>18412</v>
      </c>
      <c r="R110" s="490">
        <v>5505</v>
      </c>
      <c r="S110" s="488">
        <v>7410</v>
      </c>
      <c r="T110" s="488"/>
      <c r="U110" s="488"/>
      <c r="V110" s="488"/>
      <c r="W110" s="488"/>
      <c r="X110" s="488"/>
      <c r="Y110" s="489">
        <f t="shared" si="18"/>
        <v>31327</v>
      </c>
      <c r="Z110" s="491"/>
    </row>
    <row r="111" spans="1:26" s="387" customFormat="1" ht="12" customHeight="1">
      <c r="A111" s="1172" t="s">
        <v>429</v>
      </c>
      <c r="B111" s="496" t="s">
        <v>512</v>
      </c>
      <c r="C111" s="493">
        <v>99250</v>
      </c>
      <c r="D111" s="493">
        <f aca="true" t="shared" si="19" ref="D111:N115">SUM(D4+D9+D14+D19+D24+D29+D34+D39+D44+D49+D68+D86+D91+D96+D101+D106)</f>
        <v>73127</v>
      </c>
      <c r="E111" s="493">
        <f t="shared" si="19"/>
        <v>18998</v>
      </c>
      <c r="F111" s="493">
        <f t="shared" si="19"/>
        <v>0</v>
      </c>
      <c r="G111" s="493">
        <f t="shared" si="19"/>
        <v>0</v>
      </c>
      <c r="H111" s="493">
        <f t="shared" si="19"/>
        <v>0</v>
      </c>
      <c r="I111" s="493">
        <f t="shared" si="19"/>
        <v>0</v>
      </c>
      <c r="J111" s="493">
        <f t="shared" si="19"/>
        <v>0</v>
      </c>
      <c r="K111" s="493">
        <f t="shared" si="19"/>
        <v>0</v>
      </c>
      <c r="L111" s="493">
        <f t="shared" si="19"/>
        <v>0</v>
      </c>
      <c r="M111" s="493">
        <f t="shared" si="19"/>
        <v>0</v>
      </c>
      <c r="N111" s="489">
        <f t="shared" si="19"/>
        <v>118248</v>
      </c>
      <c r="O111" s="1172" t="s">
        <v>429</v>
      </c>
      <c r="P111" s="496" t="s">
        <v>512</v>
      </c>
      <c r="Q111" s="493">
        <f aca="true" t="shared" si="20" ref="Q111:X115">SUM(Q4+Q9+Q14+Q19+Q24+Q29+Q34+Q39+Q44+Q49+Q68+Q86+Q91+Q96+Q101+Q106)</f>
        <v>875822</v>
      </c>
      <c r="R111" s="493">
        <f t="shared" si="20"/>
        <v>276044</v>
      </c>
      <c r="S111" s="493">
        <f t="shared" si="20"/>
        <v>357163</v>
      </c>
      <c r="T111" s="493">
        <f t="shared" si="20"/>
        <v>138331</v>
      </c>
      <c r="U111" s="493">
        <f t="shared" si="20"/>
        <v>0</v>
      </c>
      <c r="V111" s="493">
        <f t="shared" si="20"/>
        <v>8883</v>
      </c>
      <c r="W111" s="493">
        <f t="shared" si="20"/>
        <v>3030</v>
      </c>
      <c r="X111" s="493">
        <f t="shared" si="20"/>
        <v>41850</v>
      </c>
      <c r="Y111" s="489">
        <f t="shared" si="18"/>
        <v>1562792</v>
      </c>
      <c r="Z111" s="491"/>
    </row>
    <row r="112" spans="1:26" s="497" customFormat="1" ht="12" customHeight="1">
      <c r="A112" s="1173"/>
      <c r="B112" s="494" t="s">
        <v>63</v>
      </c>
      <c r="C112" s="493">
        <f>SUM(C5+C10+C15+C20+C25+C30+C35+C40+C45+C50+C69+C87+C92+C97+C102+C107)</f>
        <v>101264</v>
      </c>
      <c r="D112" s="493">
        <f t="shared" si="19"/>
        <v>73127</v>
      </c>
      <c r="E112" s="493">
        <f t="shared" si="19"/>
        <v>18998</v>
      </c>
      <c r="F112" s="493">
        <f t="shared" si="19"/>
        <v>0</v>
      </c>
      <c r="G112" s="493">
        <f t="shared" si="19"/>
        <v>6228</v>
      </c>
      <c r="H112" s="493">
        <f t="shared" si="19"/>
        <v>9100</v>
      </c>
      <c r="I112" s="493">
        <f t="shared" si="19"/>
        <v>11613</v>
      </c>
      <c r="J112" s="493">
        <f t="shared" si="19"/>
        <v>0</v>
      </c>
      <c r="K112" s="493">
        <f t="shared" si="19"/>
        <v>0</v>
      </c>
      <c r="L112" s="493">
        <f t="shared" si="19"/>
        <v>17607</v>
      </c>
      <c r="M112" s="493">
        <f t="shared" si="19"/>
        <v>0</v>
      </c>
      <c r="N112" s="489">
        <f t="shared" si="19"/>
        <v>164810</v>
      </c>
      <c r="O112" s="1173"/>
      <c r="P112" s="494" t="s">
        <v>63</v>
      </c>
      <c r="Q112" s="493">
        <v>922064</v>
      </c>
      <c r="R112" s="493">
        <f t="shared" si="20"/>
        <v>290639</v>
      </c>
      <c r="S112" s="493">
        <f t="shared" si="20"/>
        <v>404684</v>
      </c>
      <c r="T112" s="493">
        <f t="shared" si="20"/>
        <v>138331</v>
      </c>
      <c r="U112" s="493">
        <f t="shared" si="20"/>
        <v>0</v>
      </c>
      <c r="V112" s="493">
        <f t="shared" si="20"/>
        <v>9603</v>
      </c>
      <c r="W112" s="493">
        <f t="shared" si="20"/>
        <v>20630</v>
      </c>
      <c r="X112" s="493">
        <f t="shared" si="20"/>
        <v>41550</v>
      </c>
      <c r="Y112" s="489">
        <f t="shared" si="18"/>
        <v>1689170</v>
      </c>
      <c r="Z112" s="491"/>
    </row>
    <row r="113" spans="1:25" s="501" customFormat="1" ht="11.25" customHeight="1">
      <c r="A113" s="1173"/>
      <c r="B113" s="498" t="s">
        <v>1088</v>
      </c>
      <c r="C113" s="493">
        <f>SUM(C6+C11+C16+C21+C26+C31+C36+C41+C46+C51+C70+C88+C93+C98+C103+C108)</f>
        <v>105970</v>
      </c>
      <c r="D113" s="499">
        <f aca="true" t="shared" si="21" ref="D113:E115">SUM(D6+D11+D16+D21+D26+D31+D36+D41+D46+D51+D70+D88+D93+D98+D103+D108)</f>
        <v>73127</v>
      </c>
      <c r="E113" s="499">
        <f t="shared" si="21"/>
        <v>24488</v>
      </c>
      <c r="F113" s="499">
        <f>SUM(F6+F11+F16+F21+F26+F31+F36+F41+F46+F51+F70+F88+F93+F98+F103+F109)</f>
        <v>333</v>
      </c>
      <c r="G113" s="499">
        <f>SUM(G6+G11+G16+G21+G26+G31+G36+G41+G46+G51+G70+G88+G94+G98+G103+G108)</f>
        <v>6947</v>
      </c>
      <c r="H113" s="499">
        <f t="shared" si="19"/>
        <v>9100</v>
      </c>
      <c r="I113" s="499">
        <f t="shared" si="19"/>
        <v>12833</v>
      </c>
      <c r="J113" s="499">
        <f t="shared" si="19"/>
        <v>0</v>
      </c>
      <c r="K113" s="499">
        <f t="shared" si="19"/>
        <v>1500</v>
      </c>
      <c r="L113" s="499">
        <f t="shared" si="19"/>
        <v>17607</v>
      </c>
      <c r="M113" s="499">
        <f t="shared" si="19"/>
        <v>0</v>
      </c>
      <c r="N113" s="761">
        <f>SUM(C113:M113)-D113</f>
        <v>178778</v>
      </c>
      <c r="O113" s="1173"/>
      <c r="P113" s="498" t="s">
        <v>1088</v>
      </c>
      <c r="Q113" s="499">
        <f>SUM(Q6+Q11+Q16+Q21+Q26+Q31+Q36+Q41+Q46+Q51+Q70+Q88+Q93+Q98+Q103+Q108)</f>
        <v>924672</v>
      </c>
      <c r="R113" s="499">
        <f t="shared" si="20"/>
        <v>284757</v>
      </c>
      <c r="S113" s="500">
        <f t="shared" si="20"/>
        <v>427168</v>
      </c>
      <c r="T113" s="500">
        <f t="shared" si="20"/>
        <v>138331</v>
      </c>
      <c r="U113" s="500">
        <f t="shared" si="20"/>
        <v>0</v>
      </c>
      <c r="V113" s="499">
        <f t="shared" si="20"/>
        <v>8529</v>
      </c>
      <c r="W113" s="499">
        <f t="shared" si="20"/>
        <v>28112</v>
      </c>
      <c r="X113" s="499">
        <f t="shared" si="20"/>
        <v>41670</v>
      </c>
      <c r="Y113" s="761">
        <f t="shared" si="18"/>
        <v>1714908</v>
      </c>
    </row>
    <row r="114" spans="1:25" s="502" customFormat="1" ht="13.5" customHeight="1">
      <c r="A114" s="1173"/>
      <c r="B114" s="771" t="s">
        <v>417</v>
      </c>
      <c r="C114" s="508">
        <f>SUM(C7+C12+C17+C22+C27+C32+C37+C42+C47+C52+C71+C89+C94+C99+C104+C109)</f>
        <v>106929</v>
      </c>
      <c r="D114" s="509">
        <f t="shared" si="21"/>
        <v>73127</v>
      </c>
      <c r="E114" s="509">
        <f t="shared" si="21"/>
        <v>24488</v>
      </c>
      <c r="F114" s="509">
        <f>SUM(F7+F12+F17+F22+F27+F32+F37+F42+F47+F52+F71+F89+F94+F99+F104+F109)</f>
        <v>333</v>
      </c>
      <c r="G114" s="499">
        <f>SUM(G7+G12+G17+G22+G27+G32+G37+G42+G47+G52+G71+G89+G94+G99+G104+G109)</f>
        <v>9691</v>
      </c>
      <c r="H114" s="509">
        <f t="shared" si="19"/>
        <v>9100</v>
      </c>
      <c r="I114" s="509">
        <f t="shared" si="19"/>
        <v>13031</v>
      </c>
      <c r="J114" s="509">
        <f t="shared" si="19"/>
        <v>0</v>
      </c>
      <c r="K114" s="509">
        <f t="shared" si="19"/>
        <v>1500</v>
      </c>
      <c r="L114" s="509">
        <f t="shared" si="19"/>
        <v>17607</v>
      </c>
      <c r="M114" s="509">
        <f t="shared" si="19"/>
        <v>0</v>
      </c>
      <c r="N114" s="772">
        <f>SUM(C114:M114)-D114</f>
        <v>182679</v>
      </c>
      <c r="O114" s="1173"/>
      <c r="P114" s="771" t="s">
        <v>417</v>
      </c>
      <c r="Q114" s="508">
        <f>SUM(Q7+Q12+Q17+Q22+Q27+Q32+Q37+Q42+Q47+Q52+Q71+Q89+Q94+Q99+Q104+Q109)</f>
        <v>927494</v>
      </c>
      <c r="R114" s="509">
        <f t="shared" si="20"/>
        <v>282146</v>
      </c>
      <c r="S114" s="773">
        <f t="shared" si="20"/>
        <v>424206</v>
      </c>
      <c r="T114" s="773">
        <f t="shared" si="20"/>
        <v>138331</v>
      </c>
      <c r="U114" s="773">
        <f t="shared" si="20"/>
        <v>122</v>
      </c>
      <c r="V114" s="509">
        <f t="shared" si="20"/>
        <v>8529</v>
      </c>
      <c r="W114" s="509">
        <f t="shared" si="20"/>
        <v>35321</v>
      </c>
      <c r="X114" s="509">
        <f t="shared" si="20"/>
        <v>41460</v>
      </c>
      <c r="Y114" s="772">
        <f t="shared" si="18"/>
        <v>1719278</v>
      </c>
    </row>
    <row r="115" spans="1:25" s="502" customFormat="1" ht="13.5" customHeight="1" thickBot="1">
      <c r="A115" s="1174"/>
      <c r="B115" s="762" t="s">
        <v>386</v>
      </c>
      <c r="C115" s="774">
        <f>SUM(C8+C13+C18+C23+C28+C33+C38+C43+C48+C53+C72+C90+C95+C100+C105+C110)</f>
        <v>110351</v>
      </c>
      <c r="D115" s="775">
        <f t="shared" si="21"/>
        <v>73676</v>
      </c>
      <c r="E115" s="775">
        <f t="shared" si="21"/>
        <v>33239</v>
      </c>
      <c r="F115" s="775">
        <f>SUM(F8+F13+F18+F23+F28+F33+F38+F43+F48+F53+F72+F90+F95+F100+F105+F110)</f>
        <v>486</v>
      </c>
      <c r="G115" s="775">
        <f>SUM(G8+G13+G18+G23+G28+G33+G38+G43+G48+G53+G72+G90+G95+G100+G105+G110)</f>
        <v>9691</v>
      </c>
      <c r="H115" s="775">
        <f t="shared" si="19"/>
        <v>9100</v>
      </c>
      <c r="I115" s="775">
        <f t="shared" si="19"/>
        <v>13031</v>
      </c>
      <c r="J115" s="775">
        <f t="shared" si="19"/>
        <v>0</v>
      </c>
      <c r="K115" s="775">
        <f t="shared" si="19"/>
        <v>1500</v>
      </c>
      <c r="L115" s="775">
        <f t="shared" si="19"/>
        <v>17607</v>
      </c>
      <c r="M115" s="775">
        <f t="shared" si="19"/>
        <v>0</v>
      </c>
      <c r="N115" s="765">
        <f>SUM(C115:M115)-D115</f>
        <v>195005</v>
      </c>
      <c r="O115" s="1174"/>
      <c r="P115" s="762" t="s">
        <v>386</v>
      </c>
      <c r="Q115" s="774">
        <f>SUM(Q8+Q13+Q18+Q23+Q28+Q33+Q38+Q43+Q48+Q53+Q72+Q90+Q95+Q100+Q105+Q110)</f>
        <v>914076</v>
      </c>
      <c r="R115" s="775">
        <f t="shared" si="20"/>
        <v>275683</v>
      </c>
      <c r="S115" s="764">
        <f t="shared" si="20"/>
        <v>410122</v>
      </c>
      <c r="T115" s="764">
        <f t="shared" si="20"/>
        <v>102763</v>
      </c>
      <c r="U115" s="764">
        <f t="shared" si="20"/>
        <v>122</v>
      </c>
      <c r="V115" s="775">
        <f t="shared" si="20"/>
        <v>8529</v>
      </c>
      <c r="W115" s="775">
        <f t="shared" si="20"/>
        <v>32016</v>
      </c>
      <c r="X115" s="775">
        <f t="shared" si="20"/>
        <v>35306</v>
      </c>
      <c r="Y115" s="765">
        <f>SUM(Q115:X115)-T115</f>
        <v>1675854</v>
      </c>
    </row>
    <row r="116" spans="1:26" s="497" customFormat="1" ht="16.5" thickTop="1">
      <c r="A116" s="776"/>
      <c r="B116" s="777"/>
      <c r="N116" s="503"/>
      <c r="O116" s="504"/>
      <c r="P116" s="504"/>
      <c r="Q116" s="778"/>
      <c r="R116" s="778"/>
      <c r="S116" s="778"/>
      <c r="T116" s="778"/>
      <c r="U116" s="778"/>
      <c r="V116" s="778"/>
      <c r="W116" s="778"/>
      <c r="X116" s="778"/>
      <c r="Y116" s="778"/>
      <c r="Z116" s="491"/>
    </row>
    <row r="117" spans="12:25" ht="15.75">
      <c r="L117" s="386">
        <v>0</v>
      </c>
      <c r="O117" s="505"/>
      <c r="P117" s="505"/>
      <c r="Q117" s="506"/>
      <c r="R117" s="506"/>
      <c r="S117" s="506"/>
      <c r="T117" s="507"/>
      <c r="U117" s="507"/>
      <c r="V117" s="507"/>
      <c r="W117" s="507"/>
      <c r="X117" s="507"/>
      <c r="Y117" s="505"/>
    </row>
    <row r="118" spans="14:25" ht="15.75">
      <c r="N118" s="503"/>
      <c r="O118" s="504"/>
      <c r="P118" s="504"/>
      <c r="Q118" s="506"/>
      <c r="R118" s="506"/>
      <c r="S118" s="506"/>
      <c r="T118" s="507"/>
      <c r="U118" s="507"/>
      <c r="V118" s="507"/>
      <c r="W118" s="507"/>
      <c r="X118" s="507"/>
      <c r="Y118" s="504"/>
    </row>
    <row r="119" spans="15:25" ht="15.75">
      <c r="O119" s="505"/>
      <c r="P119" s="505"/>
      <c r="Q119" s="506"/>
      <c r="R119" s="506"/>
      <c r="S119" s="506"/>
      <c r="T119" s="507"/>
      <c r="U119" s="507"/>
      <c r="V119" s="507"/>
      <c r="W119" s="507"/>
      <c r="X119" s="507"/>
      <c r="Y119" s="505"/>
    </row>
    <row r="120" spans="15:25" ht="15.75">
      <c r="O120" s="505"/>
      <c r="P120" s="505"/>
      <c r="Q120" s="506"/>
      <c r="R120" s="506"/>
      <c r="S120" s="506"/>
      <c r="T120" s="507"/>
      <c r="U120" s="507"/>
      <c r="V120" s="507"/>
      <c r="W120" s="507"/>
      <c r="X120" s="507"/>
      <c r="Y120" s="505"/>
    </row>
    <row r="121" spans="15:25" ht="15.75">
      <c r="O121" s="505"/>
      <c r="P121" s="505"/>
      <c r="Q121" s="506"/>
      <c r="R121" s="506"/>
      <c r="S121" s="506"/>
      <c r="T121" s="507"/>
      <c r="U121" s="507"/>
      <c r="V121" s="507"/>
      <c r="W121" s="507"/>
      <c r="X121" s="507"/>
      <c r="Y121" s="505"/>
    </row>
    <row r="122" spans="15:25" ht="15.75">
      <c r="O122" s="505"/>
      <c r="P122" s="505"/>
      <c r="Q122" s="506"/>
      <c r="R122" s="506"/>
      <c r="S122" s="506"/>
      <c r="T122" s="507"/>
      <c r="U122" s="507"/>
      <c r="V122" s="507"/>
      <c r="W122" s="507"/>
      <c r="X122" s="507"/>
      <c r="Y122" s="505"/>
    </row>
    <row r="123" spans="15:25" ht="15.75">
      <c r="O123" s="505"/>
      <c r="P123" s="505"/>
      <c r="Q123" s="506"/>
      <c r="R123" s="506"/>
      <c r="S123" s="506"/>
      <c r="T123" s="507"/>
      <c r="U123" s="507"/>
      <c r="V123" s="507"/>
      <c r="W123" s="507"/>
      <c r="X123" s="507"/>
      <c r="Y123" s="505"/>
    </row>
    <row r="124" ht="11.25">
      <c r="S124" s="386"/>
    </row>
    <row r="125" ht="11.25">
      <c r="S125" s="386"/>
    </row>
  </sheetData>
  <mergeCells count="74">
    <mergeCell ref="A111:A115"/>
    <mergeCell ref="O111:O115"/>
    <mergeCell ref="A101:A105"/>
    <mergeCell ref="O101:O105"/>
    <mergeCell ref="A106:A110"/>
    <mergeCell ref="O106:O110"/>
    <mergeCell ref="A91:A95"/>
    <mergeCell ref="O91:O95"/>
    <mergeCell ref="A96:A100"/>
    <mergeCell ref="O96:O100"/>
    <mergeCell ref="A81:A85"/>
    <mergeCell ref="O81:O85"/>
    <mergeCell ref="A86:A90"/>
    <mergeCell ref="O86:O90"/>
    <mergeCell ref="W74:X74"/>
    <mergeCell ref="Y74:Y75"/>
    <mergeCell ref="A76:A80"/>
    <mergeCell ref="O76:O80"/>
    <mergeCell ref="L74:M74"/>
    <mergeCell ref="N74:N75"/>
    <mergeCell ref="O74:P75"/>
    <mergeCell ref="Q74:V74"/>
    <mergeCell ref="A68:A72"/>
    <mergeCell ref="O68:O72"/>
    <mergeCell ref="A74:B75"/>
    <mergeCell ref="C74:C75"/>
    <mergeCell ref="D74:D75"/>
    <mergeCell ref="E74:E75"/>
    <mergeCell ref="F74:F75"/>
    <mergeCell ref="G74:H74"/>
    <mergeCell ref="I74:J74"/>
    <mergeCell ref="K74:K75"/>
    <mergeCell ref="A59:A63"/>
    <mergeCell ref="O59:O63"/>
    <mergeCell ref="A64:A67"/>
    <mergeCell ref="O64:O67"/>
    <mergeCell ref="O54:O58"/>
    <mergeCell ref="A54:A58"/>
    <mergeCell ref="A4:A8"/>
    <mergeCell ref="A49:A53"/>
    <mergeCell ref="O49:O53"/>
    <mergeCell ref="A44:A48"/>
    <mergeCell ref="A39:A43"/>
    <mergeCell ref="O44:O48"/>
    <mergeCell ref="O39:O43"/>
    <mergeCell ref="A34:A38"/>
    <mergeCell ref="A29:A33"/>
    <mergeCell ref="O34:O38"/>
    <mergeCell ref="O29:O33"/>
    <mergeCell ref="A24:A28"/>
    <mergeCell ref="A19:A23"/>
    <mergeCell ref="O24:O28"/>
    <mergeCell ref="O19:O23"/>
    <mergeCell ref="A14:A18"/>
    <mergeCell ref="A9:A13"/>
    <mergeCell ref="O14:O18"/>
    <mergeCell ref="O9:O13"/>
    <mergeCell ref="W2:X2"/>
    <mergeCell ref="Y2:Y3"/>
    <mergeCell ref="O4:O8"/>
    <mergeCell ref="L2:M2"/>
    <mergeCell ref="N2:N3"/>
    <mergeCell ref="O2:P3"/>
    <mergeCell ref="Q2:V2"/>
    <mergeCell ref="A1:N1"/>
    <mergeCell ref="O1:Y1"/>
    <mergeCell ref="A2:B3"/>
    <mergeCell ref="C2:C3"/>
    <mergeCell ref="D2:D3"/>
    <mergeCell ref="E2:E3"/>
    <mergeCell ref="F2:F3"/>
    <mergeCell ref="G2:H2"/>
    <mergeCell ref="I2:J2"/>
    <mergeCell ref="K2:K3"/>
  </mergeCells>
  <printOptions horizontalCentered="1"/>
  <pageMargins left="0.1968503937007874" right="0.2362204724409449" top="0.984251968503937" bottom="0.984251968503937" header="0.15748031496062992" footer="0.15748031496062992"/>
  <pageSetup horizontalDpi="600" verticalDpi="600" orientation="portrait" paperSize="9" scale="70" r:id="rId1"/>
  <headerFooter alignWithMargins="0">
    <oddHeader>&amp;L5. sz. melléklet</oddHeader>
  </headerFooter>
  <rowBreaks count="1" manualBreakCount="1">
    <brk id="73" max="255" man="1"/>
  </rowBreaks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24"/>
  <sheetViews>
    <sheetView zoomScaleSheetLayoutView="100" workbookViewId="0" topLeftCell="A1">
      <selection activeCell="A1" sqref="A1:IV16384"/>
    </sheetView>
  </sheetViews>
  <sheetFormatPr defaultColWidth="9.00390625" defaultRowHeight="12.75"/>
  <cols>
    <col min="1" max="1" width="92.375" style="0" customWidth="1"/>
    <col min="2" max="6" width="11.00390625" style="0" customWidth="1"/>
  </cols>
  <sheetData>
    <row r="1" spans="1:3" ht="12.75">
      <c r="A1" s="216" t="s">
        <v>972</v>
      </c>
      <c r="B1" s="190"/>
      <c r="C1" s="190"/>
    </row>
    <row r="2" spans="1:3" ht="12.75">
      <c r="A2" s="216"/>
      <c r="B2" s="190"/>
      <c r="C2" s="190"/>
    </row>
    <row r="3" spans="1:6" ht="15.75">
      <c r="A3" s="1175" t="s">
        <v>1125</v>
      </c>
      <c r="B3" s="1175"/>
      <c r="C3" s="1175"/>
      <c r="D3" s="1175"/>
      <c r="E3" s="1175"/>
      <c r="F3" s="1175"/>
    </row>
    <row r="4" spans="1:6" ht="15.75">
      <c r="A4" s="1176" t="s">
        <v>940</v>
      </c>
      <c r="B4" s="1176"/>
      <c r="C4" s="1176"/>
      <c r="D4" s="1176"/>
      <c r="E4" s="1176"/>
      <c r="F4" s="1176"/>
    </row>
    <row r="5" spans="1:3" ht="16.5" thickBot="1">
      <c r="A5" s="217"/>
      <c r="B5" s="218"/>
      <c r="C5" s="190"/>
    </row>
    <row r="6" spans="1:6" s="273" customFormat="1" ht="13.5" thickTop="1">
      <c r="A6" s="271"/>
      <c r="B6" s="259" t="s">
        <v>512</v>
      </c>
      <c r="C6" s="259" t="s">
        <v>1150</v>
      </c>
      <c r="D6" s="446" t="s">
        <v>903</v>
      </c>
      <c r="E6" s="538" t="s">
        <v>1150</v>
      </c>
      <c r="F6" s="539" t="s">
        <v>386</v>
      </c>
    </row>
    <row r="7" spans="1:6" s="258" customFormat="1" ht="13.5">
      <c r="A7" s="277" t="s">
        <v>1024</v>
      </c>
      <c r="B7" s="278">
        <v>182906</v>
      </c>
      <c r="C7" s="278">
        <v>19100</v>
      </c>
      <c r="D7" s="413">
        <f>SUM(D11,D16,D56,D69)</f>
        <v>400702</v>
      </c>
      <c r="E7" s="520">
        <f>SUM(E11,E16,E56,E69)</f>
        <v>19100</v>
      </c>
      <c r="F7" s="260">
        <f>SUM(F11,F16,F56,F69)</f>
        <v>163235</v>
      </c>
    </row>
    <row r="8" spans="1:6" s="273" customFormat="1" ht="13.5">
      <c r="A8" s="281"/>
      <c r="B8" s="278"/>
      <c r="C8" s="289"/>
      <c r="D8" s="414"/>
      <c r="E8" s="515"/>
      <c r="F8" s="407"/>
    </row>
    <row r="9" spans="1:6" s="273" customFormat="1" ht="12.75">
      <c r="A9" s="283" t="s">
        <v>543</v>
      </c>
      <c r="B9" s="276"/>
      <c r="C9" s="289"/>
      <c r="D9" s="414"/>
      <c r="E9" s="515"/>
      <c r="F9" s="407"/>
    </row>
    <row r="10" spans="1:6" s="273" customFormat="1" ht="12.75">
      <c r="A10" s="284" t="s">
        <v>653</v>
      </c>
      <c r="B10" s="276">
        <v>25256</v>
      </c>
      <c r="C10" s="289"/>
      <c r="D10" s="414">
        <f>44853-20</f>
        <v>44833</v>
      </c>
      <c r="E10" s="515"/>
      <c r="F10" s="407">
        <v>43644</v>
      </c>
    </row>
    <row r="11" spans="1:6" s="286" customFormat="1" ht="12.75">
      <c r="A11" s="283" t="s">
        <v>1328</v>
      </c>
      <c r="B11" s="268">
        <v>25256</v>
      </c>
      <c r="C11" s="268">
        <v>0</v>
      </c>
      <c r="D11" s="415">
        <f>SUM(D10)</f>
        <v>44833</v>
      </c>
      <c r="E11" s="517">
        <f>SUM(E10)</f>
        <v>0</v>
      </c>
      <c r="F11" s="255">
        <f>SUM(F10)</f>
        <v>43644</v>
      </c>
    </row>
    <row r="12" spans="1:6" s="273" customFormat="1" ht="12.75">
      <c r="A12" s="284"/>
      <c r="B12" s="276"/>
      <c r="C12" s="289"/>
      <c r="D12" s="414"/>
      <c r="E12" s="515"/>
      <c r="F12" s="407"/>
    </row>
    <row r="13" spans="1:6" s="273" customFormat="1" ht="12.75">
      <c r="A13" s="283" t="s">
        <v>542</v>
      </c>
      <c r="B13" s="276"/>
      <c r="C13" s="289"/>
      <c r="D13" s="414"/>
      <c r="E13" s="515"/>
      <c r="F13" s="407"/>
    </row>
    <row r="14" spans="1:6" s="273" customFormat="1" ht="12.75">
      <c r="A14" s="284" t="s">
        <v>654</v>
      </c>
      <c r="B14" s="276">
        <v>10390</v>
      </c>
      <c r="C14" s="289"/>
      <c r="D14" s="414">
        <f>B14</f>
        <v>10390</v>
      </c>
      <c r="E14" s="515"/>
      <c r="F14" s="407">
        <v>10390</v>
      </c>
    </row>
    <row r="15" spans="1:6" s="273" customFormat="1" ht="12.75">
      <c r="A15" s="284" t="s">
        <v>1407</v>
      </c>
      <c r="B15" s="276">
        <v>1869</v>
      </c>
      <c r="C15" s="289"/>
      <c r="D15" s="414">
        <f>B15</f>
        <v>1869</v>
      </c>
      <c r="E15" s="515"/>
      <c r="F15" s="407">
        <v>1863</v>
      </c>
    </row>
    <row r="16" spans="1:6" s="286" customFormat="1" ht="12.75">
      <c r="A16" s="283" t="s">
        <v>1328</v>
      </c>
      <c r="B16" s="268">
        <v>12259</v>
      </c>
      <c r="C16" s="268">
        <v>0</v>
      </c>
      <c r="D16" s="415">
        <f>SUM(D14:D15)</f>
        <v>12259</v>
      </c>
      <c r="E16" s="517">
        <f>SUM(E14:E15)</f>
        <v>0</v>
      </c>
      <c r="F16" s="255">
        <f>SUM(F14:F15)</f>
        <v>12253</v>
      </c>
    </row>
    <row r="17" spans="1:6" s="273" customFormat="1" ht="12.75">
      <c r="A17" s="284"/>
      <c r="B17" s="276"/>
      <c r="C17" s="289"/>
      <c r="D17" s="414"/>
      <c r="E17" s="515"/>
      <c r="F17" s="407"/>
    </row>
    <row r="18" spans="1:6" s="273" customFormat="1" ht="12.75">
      <c r="A18" s="283" t="s">
        <v>544</v>
      </c>
      <c r="B18" s="276"/>
      <c r="C18" s="289"/>
      <c r="D18" s="414"/>
      <c r="E18" s="515"/>
      <c r="F18" s="407"/>
    </row>
    <row r="19" spans="1:6" s="273" customFormat="1" ht="12.75">
      <c r="A19" s="287" t="s">
        <v>673</v>
      </c>
      <c r="B19" s="276">
        <v>10000</v>
      </c>
      <c r="C19" s="289"/>
      <c r="D19" s="414">
        <v>10337</v>
      </c>
      <c r="E19" s="515"/>
      <c r="F19" s="407">
        <v>10337</v>
      </c>
    </row>
    <row r="20" spans="1:6" s="273" customFormat="1" ht="12.75">
      <c r="A20" s="287" t="s">
        <v>671</v>
      </c>
      <c r="B20" s="285">
        <v>5000</v>
      </c>
      <c r="C20" s="289"/>
      <c r="D20" s="414">
        <f>B20</f>
        <v>5000</v>
      </c>
      <c r="E20" s="515"/>
      <c r="F20" s="407"/>
    </row>
    <row r="21" spans="1:6" s="273" customFormat="1" ht="12.75">
      <c r="A21" s="287" t="s">
        <v>672</v>
      </c>
      <c r="B21" s="285">
        <v>900</v>
      </c>
      <c r="C21" s="289"/>
      <c r="D21" s="414">
        <v>0</v>
      </c>
      <c r="E21" s="515"/>
      <c r="F21" s="407"/>
    </row>
    <row r="22" spans="1:6" s="273" customFormat="1" ht="12.75">
      <c r="A22" s="287" t="s">
        <v>674</v>
      </c>
      <c r="B22" s="285">
        <v>3600</v>
      </c>
      <c r="C22" s="289">
        <v>3600</v>
      </c>
      <c r="D22" s="414">
        <v>3600</v>
      </c>
      <c r="E22" s="515">
        <f>C22</f>
        <v>3600</v>
      </c>
      <c r="F22" s="407"/>
    </row>
    <row r="23" spans="1:6" s="273" customFormat="1" ht="12.75">
      <c r="A23" s="287" t="s">
        <v>675</v>
      </c>
      <c r="B23" s="285">
        <v>1200</v>
      </c>
      <c r="C23" s="289"/>
      <c r="D23" s="414">
        <f>1200-852</f>
        <v>348</v>
      </c>
      <c r="E23" s="515"/>
      <c r="F23" s="407"/>
    </row>
    <row r="24" spans="1:6" s="273" customFormat="1" ht="12.75">
      <c r="A24" s="284" t="s">
        <v>676</v>
      </c>
      <c r="B24" s="276">
        <v>2400</v>
      </c>
      <c r="C24" s="289"/>
      <c r="D24" s="414">
        <f>2400-333</f>
        <v>2067</v>
      </c>
      <c r="E24" s="515"/>
      <c r="F24" s="407"/>
    </row>
    <row r="25" spans="1:6" s="273" customFormat="1" ht="12.75">
      <c r="A25" s="284" t="s">
        <v>677</v>
      </c>
      <c r="B25" s="276">
        <v>5791</v>
      </c>
      <c r="C25" s="289"/>
      <c r="D25" s="414">
        <f>B25</f>
        <v>5791</v>
      </c>
      <c r="E25" s="515"/>
      <c r="F25" s="407">
        <v>5791</v>
      </c>
    </row>
    <row r="26" spans="1:6" s="273" customFormat="1" ht="12.75">
      <c r="A26" s="284" t="s">
        <v>545</v>
      </c>
      <c r="B26" s="276">
        <v>1500</v>
      </c>
      <c r="C26" s="289">
        <v>1500</v>
      </c>
      <c r="D26" s="414">
        <f>B26</f>
        <v>1500</v>
      </c>
      <c r="E26" s="515">
        <f>C26</f>
        <v>1500</v>
      </c>
      <c r="F26" s="407"/>
    </row>
    <row r="27" spans="1:6" s="273" customFormat="1" ht="12.75">
      <c r="A27" s="284" t="s">
        <v>462</v>
      </c>
      <c r="B27" s="276">
        <v>5000</v>
      </c>
      <c r="C27" s="289"/>
      <c r="D27" s="414">
        <f>5000+493</f>
        <v>5493</v>
      </c>
      <c r="E27" s="515"/>
      <c r="F27" s="407">
        <v>5493</v>
      </c>
    </row>
    <row r="28" spans="1:6" s="273" customFormat="1" ht="12.75">
      <c r="A28" s="284" t="s">
        <v>546</v>
      </c>
      <c r="B28" s="276">
        <v>32000</v>
      </c>
      <c r="C28" s="289">
        <v>14000</v>
      </c>
      <c r="D28" s="414">
        <f>31633-448</f>
        <v>31185</v>
      </c>
      <c r="E28" s="515">
        <f>C28</f>
        <v>14000</v>
      </c>
      <c r="F28" s="407">
        <v>9836</v>
      </c>
    </row>
    <row r="29" spans="1:6" s="273" customFormat="1" ht="12.75">
      <c r="A29" s="284" t="s">
        <v>1127</v>
      </c>
      <c r="B29" s="276">
        <v>6000</v>
      </c>
      <c r="C29" s="289"/>
      <c r="D29" s="414">
        <f>6000-33-1708</f>
        <v>4259</v>
      </c>
      <c r="E29" s="515"/>
      <c r="F29" s="407"/>
    </row>
    <row r="30" spans="1:6" s="273" customFormat="1" ht="12.75">
      <c r="A30" s="284" t="s">
        <v>1128</v>
      </c>
      <c r="B30" s="276"/>
      <c r="C30" s="289"/>
      <c r="D30" s="414">
        <v>2000</v>
      </c>
      <c r="E30" s="515"/>
      <c r="F30" s="407">
        <v>2000</v>
      </c>
    </row>
    <row r="31" spans="1:6" s="273" customFormat="1" ht="12.75">
      <c r="A31" s="284" t="s">
        <v>1129</v>
      </c>
      <c r="B31" s="276"/>
      <c r="C31" s="289"/>
      <c r="D31" s="414">
        <f>1875+5023</f>
        <v>6898</v>
      </c>
      <c r="E31" s="515"/>
      <c r="F31" s="407">
        <v>6899</v>
      </c>
    </row>
    <row r="32" spans="1:6" s="273" customFormat="1" ht="12.75">
      <c r="A32" s="284" t="s">
        <v>1130</v>
      </c>
      <c r="B32" s="276"/>
      <c r="C32" s="289"/>
      <c r="D32" s="414">
        <v>932</v>
      </c>
      <c r="E32" s="515"/>
      <c r="F32" s="407">
        <v>932</v>
      </c>
    </row>
    <row r="33" spans="1:6" s="273" customFormat="1" ht="12.75">
      <c r="A33" s="284" t="s">
        <v>1131</v>
      </c>
      <c r="B33" s="276"/>
      <c r="C33" s="289"/>
      <c r="D33" s="414">
        <v>4716</v>
      </c>
      <c r="E33" s="515"/>
      <c r="F33" s="407">
        <v>4716</v>
      </c>
    </row>
    <row r="34" spans="1:6" s="273" customFormat="1" ht="12.75">
      <c r="A34" s="284" t="s">
        <v>1132</v>
      </c>
      <c r="B34" s="276"/>
      <c r="C34" s="289"/>
      <c r="D34" s="414">
        <v>6100</v>
      </c>
      <c r="E34" s="515"/>
      <c r="F34" s="407">
        <v>6100</v>
      </c>
    </row>
    <row r="35" spans="1:6" s="273" customFormat="1" ht="12.75">
      <c r="A35" s="284" t="s">
        <v>1133</v>
      </c>
      <c r="B35" s="276"/>
      <c r="C35" s="289"/>
      <c r="D35" s="414">
        <v>6125</v>
      </c>
      <c r="E35" s="515"/>
      <c r="F35" s="407">
        <v>6125</v>
      </c>
    </row>
    <row r="36" spans="1:6" s="273" customFormat="1" ht="12.75">
      <c r="A36" s="284" t="s">
        <v>1134</v>
      </c>
      <c r="B36" s="276"/>
      <c r="C36" s="289"/>
      <c r="D36" s="414">
        <v>5721</v>
      </c>
      <c r="E36" s="515"/>
      <c r="F36" s="407">
        <v>5721</v>
      </c>
    </row>
    <row r="37" spans="1:6" s="273" customFormat="1" ht="12.75">
      <c r="A37" s="284" t="s">
        <v>444</v>
      </c>
      <c r="B37" s="276"/>
      <c r="C37" s="289"/>
      <c r="D37" s="414">
        <v>5015</v>
      </c>
      <c r="E37" s="515"/>
      <c r="F37" s="407">
        <v>5015</v>
      </c>
    </row>
    <row r="38" spans="1:6" s="273" customFormat="1" ht="12.75">
      <c r="A38" s="284" t="s">
        <v>186</v>
      </c>
      <c r="B38" s="276"/>
      <c r="C38" s="289"/>
      <c r="D38" s="414">
        <v>1830</v>
      </c>
      <c r="E38" s="515"/>
      <c r="F38" s="407">
        <v>1830</v>
      </c>
    </row>
    <row r="39" spans="1:6" s="273" customFormat="1" ht="12.75">
      <c r="A39" s="284" t="s">
        <v>187</v>
      </c>
      <c r="B39" s="276"/>
      <c r="C39" s="289"/>
      <c r="D39" s="414">
        <v>490</v>
      </c>
      <c r="E39" s="515"/>
      <c r="F39" s="407"/>
    </row>
    <row r="40" spans="1:6" s="273" customFormat="1" ht="12.75">
      <c r="A40" s="284" t="s">
        <v>188</v>
      </c>
      <c r="B40" s="276"/>
      <c r="C40" s="289"/>
      <c r="D40" s="414">
        <v>2160</v>
      </c>
      <c r="E40" s="515"/>
      <c r="F40" s="407">
        <v>2004</v>
      </c>
    </row>
    <row r="41" spans="1:6" s="273" customFormat="1" ht="12.75">
      <c r="A41" s="284" t="s">
        <v>445</v>
      </c>
      <c r="B41" s="276"/>
      <c r="C41" s="289"/>
      <c r="D41" s="414">
        <v>507</v>
      </c>
      <c r="E41" s="515"/>
      <c r="F41" s="407">
        <v>507</v>
      </c>
    </row>
    <row r="42" spans="1:6" s="273" customFormat="1" ht="12.75">
      <c r="A42" s="284" t="s">
        <v>446</v>
      </c>
      <c r="B42" s="276"/>
      <c r="C42" s="289"/>
      <c r="D42" s="414">
        <v>3500</v>
      </c>
      <c r="E42" s="515"/>
      <c r="F42" s="407">
        <v>2894</v>
      </c>
    </row>
    <row r="43" spans="1:6" s="273" customFormat="1" ht="12.75">
      <c r="A43" s="284" t="s">
        <v>447</v>
      </c>
      <c r="B43" s="276"/>
      <c r="C43" s="289"/>
      <c r="D43" s="414">
        <v>1410</v>
      </c>
      <c r="E43" s="515"/>
      <c r="F43" s="407"/>
    </row>
    <row r="44" spans="1:6" s="273" customFormat="1" ht="12.75">
      <c r="A44" s="284" t="s">
        <v>448</v>
      </c>
      <c r="B44" s="276"/>
      <c r="C44" s="289"/>
      <c r="D44" s="414">
        <v>500</v>
      </c>
      <c r="E44" s="515"/>
      <c r="F44" s="407"/>
    </row>
    <row r="45" spans="1:6" s="273" customFormat="1" ht="12.75">
      <c r="A45" s="284" t="s">
        <v>1104</v>
      </c>
      <c r="B45" s="276"/>
      <c r="C45" s="289"/>
      <c r="D45" s="414"/>
      <c r="E45" s="515"/>
      <c r="F45" s="407"/>
    </row>
    <row r="46" spans="1:6" s="273" customFormat="1" ht="12.75">
      <c r="A46" s="284" t="s">
        <v>1105</v>
      </c>
      <c r="B46" s="276"/>
      <c r="C46" s="289"/>
      <c r="D46" s="414">
        <f>375+8</f>
        <v>383</v>
      </c>
      <c r="E46" s="515"/>
      <c r="F46" s="407">
        <v>383</v>
      </c>
    </row>
    <row r="47" spans="1:6" s="273" customFormat="1" ht="12.75">
      <c r="A47" s="284" t="s">
        <v>1106</v>
      </c>
      <c r="B47" s="276"/>
      <c r="C47" s="289"/>
      <c r="D47" s="414">
        <v>300</v>
      </c>
      <c r="E47" s="515"/>
      <c r="F47" s="407"/>
    </row>
    <row r="48" spans="1:6" s="273" customFormat="1" ht="12.75">
      <c r="A48" s="284" t="s">
        <v>1107</v>
      </c>
      <c r="B48" s="276"/>
      <c r="C48" s="289"/>
      <c r="D48" s="414">
        <v>1246</v>
      </c>
      <c r="E48" s="515"/>
      <c r="F48" s="407">
        <v>1246</v>
      </c>
    </row>
    <row r="49" spans="1:6" s="273" customFormat="1" ht="12.75">
      <c r="A49" s="284" t="s">
        <v>1108</v>
      </c>
      <c r="B49" s="276"/>
      <c r="C49" s="289"/>
      <c r="D49" s="414">
        <f>1000+250</f>
        <v>1250</v>
      </c>
      <c r="E49" s="515"/>
      <c r="F49" s="407">
        <v>1250</v>
      </c>
    </row>
    <row r="50" spans="1:6" s="273" customFormat="1" ht="12.75">
      <c r="A50" s="284" t="s">
        <v>1109</v>
      </c>
      <c r="B50" s="276"/>
      <c r="C50" s="289"/>
      <c r="D50" s="414">
        <v>1823</v>
      </c>
      <c r="E50" s="515"/>
      <c r="F50" s="407">
        <v>1823</v>
      </c>
    </row>
    <row r="51" spans="1:6" s="273" customFormat="1" ht="12.75">
      <c r="A51" s="284" t="s">
        <v>1110</v>
      </c>
      <c r="B51" s="276"/>
      <c r="C51" s="289"/>
      <c r="D51" s="414">
        <v>479</v>
      </c>
      <c r="E51" s="515"/>
      <c r="F51" s="407"/>
    </row>
    <row r="52" spans="1:6" s="273" customFormat="1" ht="12.75">
      <c r="A52" s="284" t="s">
        <v>1111</v>
      </c>
      <c r="B52" s="276"/>
      <c r="C52" s="289"/>
      <c r="D52" s="414">
        <f>722+75</f>
        <v>797</v>
      </c>
      <c r="E52" s="515"/>
      <c r="F52" s="407">
        <v>797</v>
      </c>
    </row>
    <row r="53" spans="1:6" s="273" customFormat="1" ht="12.75">
      <c r="A53" s="284" t="s">
        <v>1115</v>
      </c>
      <c r="B53" s="276"/>
      <c r="C53" s="289"/>
      <c r="D53" s="414">
        <f>1020+852</f>
        <v>1872</v>
      </c>
      <c r="E53" s="515"/>
      <c r="F53" s="407">
        <v>1872</v>
      </c>
    </row>
    <row r="54" spans="1:6" s="273" customFormat="1" ht="12.75">
      <c r="A54" s="284" t="s">
        <v>373</v>
      </c>
      <c r="B54" s="276"/>
      <c r="C54" s="289"/>
      <c r="D54" s="414">
        <f>1656+33</f>
        <v>1689</v>
      </c>
      <c r="E54" s="515"/>
      <c r="F54" s="407">
        <v>1689</v>
      </c>
    </row>
    <row r="55" spans="1:6" s="273" customFormat="1" ht="12.75">
      <c r="A55" s="290" t="s">
        <v>463</v>
      </c>
      <c r="B55" s="291"/>
      <c r="C55" s="292"/>
      <c r="D55" s="417">
        <v>1708</v>
      </c>
      <c r="E55" s="518"/>
      <c r="F55" s="408">
        <v>1708</v>
      </c>
    </row>
    <row r="56" spans="1:8" s="286" customFormat="1" ht="13.5" thickBot="1">
      <c r="A56" s="304" t="s">
        <v>1328</v>
      </c>
      <c r="B56" s="254">
        <v>113391</v>
      </c>
      <c r="C56" s="254">
        <v>19100</v>
      </c>
      <c r="D56" s="416">
        <f>SUM(D19:D55)</f>
        <v>129031</v>
      </c>
      <c r="E56" s="519">
        <f>SUM(E19:E36)</f>
        <v>19100</v>
      </c>
      <c r="F56" s="305">
        <f>SUM(F19:F55)</f>
        <v>86968</v>
      </c>
      <c r="H56" s="307"/>
    </row>
    <row r="57" spans="1:6" s="273" customFormat="1" ht="13.5" thickTop="1">
      <c r="A57" s="409"/>
      <c r="B57" s="259" t="s">
        <v>512</v>
      </c>
      <c r="C57" s="259" t="s">
        <v>1150</v>
      </c>
      <c r="D57" s="446" t="s">
        <v>903</v>
      </c>
      <c r="E57" s="538" t="s">
        <v>1150</v>
      </c>
      <c r="F57" s="539" t="s">
        <v>386</v>
      </c>
    </row>
    <row r="58" spans="1:6" s="273" customFormat="1" ht="12.75">
      <c r="A58" s="283" t="s">
        <v>547</v>
      </c>
      <c r="B58" s="276"/>
      <c r="C58" s="289"/>
      <c r="D58" s="414"/>
      <c r="E58" s="515"/>
      <c r="F58" s="407"/>
    </row>
    <row r="59" spans="1:6" s="273" customFormat="1" ht="12.75">
      <c r="A59" s="284" t="s">
        <v>655</v>
      </c>
      <c r="B59" s="276">
        <v>32000</v>
      </c>
      <c r="C59" s="289"/>
      <c r="D59" s="414">
        <f>B59</f>
        <v>32000</v>
      </c>
      <c r="E59" s="515"/>
      <c r="F59" s="407"/>
    </row>
    <row r="60" spans="1:6" s="273" customFormat="1" ht="12.75">
      <c r="A60" s="284" t="s">
        <v>693</v>
      </c>
      <c r="B60" s="276">
        <v>15000</v>
      </c>
      <c r="C60" s="289"/>
      <c r="D60" s="414">
        <f>B60</f>
        <v>15000</v>
      </c>
      <c r="E60" s="515"/>
      <c r="F60" s="407">
        <v>1756</v>
      </c>
    </row>
    <row r="61" spans="1:6" s="273" customFormat="1" ht="12.75">
      <c r="A61" s="284" t="s">
        <v>1126</v>
      </c>
      <c r="B61" s="276">
        <v>25000</v>
      </c>
      <c r="C61" s="289"/>
      <c r="D61" s="414">
        <f>B61</f>
        <v>25000</v>
      </c>
      <c r="E61" s="515"/>
      <c r="F61" s="407"/>
    </row>
    <row r="62" spans="1:6" s="273" customFormat="1" ht="12.75">
      <c r="A62" s="284" t="s">
        <v>14</v>
      </c>
      <c r="B62" s="276"/>
      <c r="C62" s="289"/>
      <c r="D62" s="414">
        <v>23300</v>
      </c>
      <c r="E62" s="515"/>
      <c r="F62" s="407">
        <v>7359</v>
      </c>
    </row>
    <row r="63" spans="1:6" s="273" customFormat="1" ht="12.75">
      <c r="A63" s="284" t="s">
        <v>460</v>
      </c>
      <c r="B63" s="276"/>
      <c r="C63" s="289"/>
      <c r="D63" s="414">
        <v>239</v>
      </c>
      <c r="E63" s="515"/>
      <c r="F63" s="407">
        <v>239</v>
      </c>
    </row>
    <row r="64" spans="1:6" s="273" customFormat="1" ht="12.75">
      <c r="A64" s="284" t="s">
        <v>461</v>
      </c>
      <c r="B64" s="276"/>
      <c r="C64" s="289"/>
      <c r="D64" s="414">
        <v>1029</v>
      </c>
      <c r="E64" s="515"/>
      <c r="F64" s="407">
        <v>1029</v>
      </c>
    </row>
    <row r="65" spans="1:6" s="273" customFormat="1" ht="12.75">
      <c r="A65" s="284" t="s">
        <v>474</v>
      </c>
      <c r="B65" s="276"/>
      <c r="C65" s="289"/>
      <c r="D65" s="414">
        <v>69791</v>
      </c>
      <c r="E65" s="515"/>
      <c r="F65" s="407">
        <v>500</v>
      </c>
    </row>
    <row r="66" spans="1:6" s="273" customFormat="1" ht="12.75">
      <c r="A66" s="284" t="s">
        <v>13</v>
      </c>
      <c r="B66" s="276"/>
      <c r="C66" s="289"/>
      <c r="D66" s="414">
        <v>30000</v>
      </c>
      <c r="E66" s="515"/>
      <c r="F66" s="407">
        <v>462</v>
      </c>
    </row>
    <row r="67" spans="1:6" s="273" customFormat="1" ht="12.75">
      <c r="A67" s="284" t="s">
        <v>374</v>
      </c>
      <c r="B67" s="276"/>
      <c r="C67" s="289"/>
      <c r="D67" s="414">
        <v>16000</v>
      </c>
      <c r="E67" s="515"/>
      <c r="F67" s="407">
        <v>6805</v>
      </c>
    </row>
    <row r="68" spans="1:6" s="273" customFormat="1" ht="12.75">
      <c r="A68" s="284" t="s">
        <v>375</v>
      </c>
      <c r="B68" s="276"/>
      <c r="C68" s="289"/>
      <c r="D68" s="414">
        <f>2200+20</f>
        <v>2220</v>
      </c>
      <c r="E68" s="515"/>
      <c r="F68" s="407">
        <v>2220</v>
      </c>
    </row>
    <row r="69" spans="1:6" s="286" customFormat="1" ht="12.75">
      <c r="A69" s="283" t="s">
        <v>1328</v>
      </c>
      <c r="B69" s="268">
        <v>32000</v>
      </c>
      <c r="C69" s="268">
        <v>0</v>
      </c>
      <c r="D69" s="415">
        <f>SUM(D59:D68)</f>
        <v>214579</v>
      </c>
      <c r="E69" s="517">
        <f>SUM(E59:E65)</f>
        <v>0</v>
      </c>
      <c r="F69" s="255">
        <f>SUM(F59:F68)</f>
        <v>20370</v>
      </c>
    </row>
    <row r="70" spans="1:6" s="273" customFormat="1" ht="12.75">
      <c r="A70" s="290"/>
      <c r="B70" s="291"/>
      <c r="C70" s="292"/>
      <c r="D70" s="417"/>
      <c r="E70" s="518"/>
      <c r="F70" s="408"/>
    </row>
    <row r="71" spans="1:6" s="258" customFormat="1" ht="13.5">
      <c r="A71" s="253" t="s">
        <v>506</v>
      </c>
      <c r="B71" s="279"/>
      <c r="C71" s="431"/>
      <c r="D71" s="413">
        <f>SUM(D72:D72)</f>
        <v>10297</v>
      </c>
      <c r="E71" s="520">
        <f>SUM(E72:E72)</f>
        <v>0</v>
      </c>
      <c r="F71" s="260">
        <f>SUM(F72:F72)</f>
        <v>8500</v>
      </c>
    </row>
    <row r="72" spans="1:6" s="273" customFormat="1" ht="12.75">
      <c r="A72" s="284" t="s">
        <v>251</v>
      </c>
      <c r="B72" s="276"/>
      <c r="C72" s="289"/>
      <c r="D72" s="414">
        <v>10297</v>
      </c>
      <c r="E72" s="515"/>
      <c r="F72" s="407">
        <v>8500</v>
      </c>
    </row>
    <row r="73" spans="1:6" s="273" customFormat="1" ht="12.75">
      <c r="A73" s="284"/>
      <c r="B73" s="276"/>
      <c r="C73" s="289"/>
      <c r="D73" s="414"/>
      <c r="E73" s="515"/>
      <c r="F73" s="407"/>
    </row>
    <row r="74" spans="1:6" s="258" customFormat="1" ht="13.5">
      <c r="A74" s="253" t="s">
        <v>1282</v>
      </c>
      <c r="B74" s="279">
        <v>41850</v>
      </c>
      <c r="C74" s="279">
        <v>5900</v>
      </c>
      <c r="D74" s="413">
        <f>SUM(D75:D86)</f>
        <v>41460</v>
      </c>
      <c r="E74" s="520">
        <f>SUM(E75:E86)</f>
        <v>5900</v>
      </c>
      <c r="F74" s="260">
        <f>SUM(F75:F86)</f>
        <v>35306</v>
      </c>
    </row>
    <row r="75" spans="1:6" s="273" customFormat="1" ht="12.75">
      <c r="A75" s="287" t="s">
        <v>376</v>
      </c>
      <c r="B75" s="276">
        <v>5000</v>
      </c>
      <c r="C75" s="289"/>
      <c r="D75" s="414">
        <v>5338</v>
      </c>
      <c r="E75" s="515"/>
      <c r="F75" s="407">
        <v>5338</v>
      </c>
    </row>
    <row r="76" spans="1:6" s="273" customFormat="1" ht="12.75">
      <c r="A76" s="287" t="s">
        <v>1379</v>
      </c>
      <c r="B76" s="276">
        <v>1100</v>
      </c>
      <c r="C76" s="289"/>
      <c r="D76" s="414">
        <v>1220</v>
      </c>
      <c r="E76" s="515"/>
      <c r="F76" s="407">
        <v>1220</v>
      </c>
    </row>
    <row r="77" spans="1:6" s="273" customFormat="1" ht="25.5">
      <c r="A77" s="302" t="s">
        <v>377</v>
      </c>
      <c r="B77" s="303">
        <v>6250</v>
      </c>
      <c r="C77" s="289"/>
      <c r="D77" s="414">
        <v>5959</v>
      </c>
      <c r="E77" s="515"/>
      <c r="F77" s="407">
        <v>5705</v>
      </c>
    </row>
    <row r="78" spans="1:6" s="273" customFormat="1" ht="12.75">
      <c r="A78" s="274" t="s">
        <v>378</v>
      </c>
      <c r="B78" s="303">
        <v>1200</v>
      </c>
      <c r="C78" s="289"/>
      <c r="D78" s="414">
        <v>1112</v>
      </c>
      <c r="E78" s="515"/>
      <c r="F78" s="407">
        <v>1112</v>
      </c>
    </row>
    <row r="79" spans="1:6" s="273" customFormat="1" ht="12.75">
      <c r="A79" s="274" t="s">
        <v>379</v>
      </c>
      <c r="B79" s="303">
        <v>4500</v>
      </c>
      <c r="C79" s="289"/>
      <c r="D79" s="414">
        <v>5070</v>
      </c>
      <c r="E79" s="515"/>
      <c r="F79" s="407">
        <v>5070</v>
      </c>
    </row>
    <row r="80" spans="1:6" s="273" customFormat="1" ht="12.75">
      <c r="A80" s="274" t="s">
        <v>380</v>
      </c>
      <c r="B80" s="303">
        <v>5100</v>
      </c>
      <c r="C80" s="289"/>
      <c r="D80" s="414">
        <v>5147</v>
      </c>
      <c r="E80" s="515"/>
      <c r="F80" s="407">
        <v>5147</v>
      </c>
    </row>
    <row r="81" spans="1:6" s="273" customFormat="1" ht="12.75">
      <c r="A81" s="274" t="s">
        <v>381</v>
      </c>
      <c r="B81" s="303">
        <v>4500</v>
      </c>
      <c r="C81" s="289"/>
      <c r="D81" s="414">
        <v>7211</v>
      </c>
      <c r="E81" s="515"/>
      <c r="F81" s="407">
        <v>7211</v>
      </c>
    </row>
    <row r="82" spans="1:6" s="273" customFormat="1" ht="12.75">
      <c r="A82" s="274" t="s">
        <v>548</v>
      </c>
      <c r="B82" s="303">
        <v>450</v>
      </c>
      <c r="C82" s="289"/>
      <c r="D82" s="414">
        <v>0</v>
      </c>
      <c r="E82" s="515"/>
      <c r="F82" s="407"/>
    </row>
    <row r="83" spans="1:6" s="273" customFormat="1" ht="12.75">
      <c r="A83" s="274" t="s">
        <v>382</v>
      </c>
      <c r="B83" s="303">
        <v>9250</v>
      </c>
      <c r="C83" s="289">
        <v>4400</v>
      </c>
      <c r="D83" s="414">
        <v>8591</v>
      </c>
      <c r="E83" s="515">
        <v>4400</v>
      </c>
      <c r="F83" s="407">
        <v>4190</v>
      </c>
    </row>
    <row r="84" spans="1:6" s="273" customFormat="1" ht="12.75">
      <c r="A84" s="302" t="s">
        <v>1380</v>
      </c>
      <c r="B84" s="303">
        <v>500</v>
      </c>
      <c r="C84" s="289"/>
      <c r="D84" s="414">
        <v>312</v>
      </c>
      <c r="E84" s="515"/>
      <c r="F84" s="407">
        <v>313</v>
      </c>
    </row>
    <row r="85" spans="1:6" s="273" customFormat="1" ht="12.75">
      <c r="A85" s="302" t="s">
        <v>1381</v>
      </c>
      <c r="B85" s="303">
        <v>2500</v>
      </c>
      <c r="C85" s="289"/>
      <c r="D85" s="414">
        <v>0</v>
      </c>
      <c r="E85" s="515"/>
      <c r="F85" s="407"/>
    </row>
    <row r="86" spans="1:6" s="273" customFormat="1" ht="12.75">
      <c r="A86" s="302" t="s">
        <v>1382</v>
      </c>
      <c r="B86" s="303">
        <v>1500</v>
      </c>
      <c r="C86" s="289">
        <v>1500</v>
      </c>
      <c r="D86" s="414">
        <v>1500</v>
      </c>
      <c r="E86" s="515">
        <v>1500</v>
      </c>
      <c r="F86" s="407"/>
    </row>
    <row r="87" spans="1:6" s="273" customFormat="1" ht="12.75">
      <c r="A87" s="287"/>
      <c r="B87" s="276"/>
      <c r="C87" s="289"/>
      <c r="D87" s="414"/>
      <c r="E87" s="515"/>
      <c r="F87" s="407"/>
    </row>
    <row r="88" spans="1:6" s="286" customFormat="1" ht="13.5" thickBot="1">
      <c r="A88" s="304" t="s">
        <v>1283</v>
      </c>
      <c r="B88" s="254">
        <v>224756</v>
      </c>
      <c r="C88" s="254">
        <v>25000</v>
      </c>
      <c r="D88" s="416">
        <f>SUM(D74,D71,D7)</f>
        <v>452459</v>
      </c>
      <c r="E88" s="519">
        <f>SUM(E74,E71,E7)</f>
        <v>25000</v>
      </c>
      <c r="F88" s="305">
        <f>SUM(F74,F71,F7)</f>
        <v>207041</v>
      </c>
    </row>
    <row r="89" spans="2:5" s="273" customFormat="1" ht="13.5" thickTop="1">
      <c r="B89" s="306"/>
      <c r="D89" s="301"/>
      <c r="E89" s="301"/>
    </row>
    <row r="90" spans="2:5" s="273" customFormat="1" ht="12.75">
      <c r="B90" s="306"/>
      <c r="D90" s="301"/>
      <c r="E90" s="301"/>
    </row>
    <row r="91" spans="2:5" s="273" customFormat="1" ht="12.75">
      <c r="B91" s="306"/>
      <c r="D91" s="301"/>
      <c r="E91" s="301"/>
    </row>
    <row r="92" spans="4:5" s="273" customFormat="1" ht="12.75">
      <c r="D92" s="301"/>
      <c r="E92" s="301"/>
    </row>
    <row r="93" spans="4:5" s="273" customFormat="1" ht="12.75">
      <c r="D93" s="301"/>
      <c r="E93" s="301"/>
    </row>
    <row r="94" spans="4:5" s="273" customFormat="1" ht="12.75">
      <c r="D94" s="301"/>
      <c r="E94" s="301"/>
    </row>
    <row r="95" spans="4:5" s="273" customFormat="1" ht="12.75">
      <c r="D95" s="301"/>
      <c r="E95" s="301"/>
    </row>
    <row r="96" spans="4:5" s="273" customFormat="1" ht="12.75">
      <c r="D96" s="301"/>
      <c r="E96" s="301"/>
    </row>
    <row r="97" spans="4:5" s="273" customFormat="1" ht="12.75">
      <c r="D97" s="301"/>
      <c r="E97" s="301"/>
    </row>
    <row r="98" spans="4:5" s="273" customFormat="1" ht="12.75">
      <c r="D98" s="301"/>
      <c r="E98" s="301"/>
    </row>
    <row r="99" spans="4:5" s="273" customFormat="1" ht="12.75">
      <c r="D99" s="301"/>
      <c r="E99" s="301"/>
    </row>
    <row r="100" spans="4:5" s="273" customFormat="1" ht="12.75">
      <c r="D100" s="301"/>
      <c r="E100" s="301"/>
    </row>
    <row r="101" spans="4:5" s="273" customFormat="1" ht="12.75">
      <c r="D101" s="301"/>
      <c r="E101" s="301"/>
    </row>
    <row r="102" spans="4:5" s="273" customFormat="1" ht="12.75">
      <c r="D102" s="301"/>
      <c r="E102" s="301"/>
    </row>
    <row r="103" spans="4:5" s="273" customFormat="1" ht="12.75">
      <c r="D103" s="301"/>
      <c r="E103" s="301"/>
    </row>
    <row r="104" spans="4:5" s="273" customFormat="1" ht="12.75">
      <c r="D104" s="301"/>
      <c r="E104" s="301"/>
    </row>
    <row r="105" spans="4:5" s="273" customFormat="1" ht="12.75">
      <c r="D105" s="301"/>
      <c r="E105" s="301"/>
    </row>
    <row r="106" spans="4:5" s="273" customFormat="1" ht="12.75">
      <c r="D106" s="301"/>
      <c r="E106" s="301"/>
    </row>
    <row r="107" spans="4:5" s="273" customFormat="1" ht="12.75">
      <c r="D107" s="301"/>
      <c r="E107" s="301"/>
    </row>
    <row r="108" spans="4:5" s="273" customFormat="1" ht="12.75">
      <c r="D108" s="301"/>
      <c r="E108" s="301"/>
    </row>
    <row r="109" spans="4:5" s="273" customFormat="1" ht="12.75">
      <c r="D109" s="301"/>
      <c r="E109" s="301"/>
    </row>
    <row r="110" spans="4:5" s="273" customFormat="1" ht="12.75">
      <c r="D110" s="301"/>
      <c r="E110" s="301"/>
    </row>
    <row r="111" spans="4:5" s="273" customFormat="1" ht="12.75">
      <c r="D111" s="301"/>
      <c r="E111" s="301"/>
    </row>
    <row r="112" spans="4:5" s="273" customFormat="1" ht="12.75">
      <c r="D112" s="301"/>
      <c r="E112" s="301"/>
    </row>
    <row r="113" spans="4:5" s="273" customFormat="1" ht="12.75">
      <c r="D113" s="301"/>
      <c r="E113" s="301"/>
    </row>
    <row r="114" spans="4:5" s="273" customFormat="1" ht="12.75">
      <c r="D114" s="301"/>
      <c r="E114" s="301"/>
    </row>
    <row r="115" spans="4:5" s="273" customFormat="1" ht="12.75">
      <c r="D115" s="301"/>
      <c r="E115" s="301"/>
    </row>
    <row r="116" spans="4:5" s="273" customFormat="1" ht="12.75">
      <c r="D116" s="301"/>
      <c r="E116" s="301"/>
    </row>
    <row r="117" spans="4:5" s="273" customFormat="1" ht="12.75">
      <c r="D117" s="301"/>
      <c r="E117" s="301"/>
    </row>
    <row r="118" spans="4:5" s="273" customFormat="1" ht="12.75">
      <c r="D118" s="301"/>
      <c r="E118" s="301"/>
    </row>
    <row r="119" spans="4:5" s="273" customFormat="1" ht="12.75">
      <c r="D119" s="301"/>
      <c r="E119" s="301"/>
    </row>
    <row r="120" spans="4:5" s="273" customFormat="1" ht="12.75">
      <c r="D120" s="301"/>
      <c r="E120" s="301"/>
    </row>
    <row r="121" spans="4:5" s="273" customFormat="1" ht="12.75">
      <c r="D121" s="301"/>
      <c r="E121" s="301"/>
    </row>
    <row r="122" spans="4:5" s="273" customFormat="1" ht="12.75">
      <c r="D122" s="301"/>
      <c r="E122" s="301"/>
    </row>
    <row r="123" spans="4:5" s="273" customFormat="1" ht="12.75">
      <c r="D123" s="301"/>
      <c r="E123" s="301"/>
    </row>
    <row r="124" spans="4:5" s="273" customFormat="1" ht="12.75">
      <c r="D124" s="301"/>
      <c r="E124" s="301"/>
    </row>
    <row r="125" s="273" customFormat="1" ht="12.75"/>
    <row r="126" s="273" customFormat="1" ht="12.75"/>
    <row r="127" s="273" customFormat="1" ht="12.75"/>
    <row r="128" s="273" customFormat="1" ht="12.75"/>
    <row r="129" s="273" customFormat="1" ht="12.75"/>
    <row r="130" s="273" customFormat="1" ht="12.75"/>
    <row r="131" s="273" customFormat="1" ht="12.75"/>
    <row r="132" s="273" customFormat="1" ht="12.75"/>
    <row r="133" s="273" customFormat="1" ht="12.75"/>
    <row r="134" s="273" customFormat="1" ht="12.75"/>
    <row r="135" s="273" customFormat="1" ht="12.75"/>
    <row r="136" s="273" customFormat="1" ht="12.75"/>
    <row r="137" s="273" customFormat="1" ht="12.75"/>
    <row r="138" s="273" customFormat="1" ht="12.75"/>
    <row r="139" s="273" customFormat="1" ht="12.75"/>
    <row r="140" s="273" customFormat="1" ht="12.75"/>
    <row r="141" s="273" customFormat="1" ht="12.75"/>
    <row r="142" s="273" customFormat="1" ht="12.75"/>
    <row r="143" s="273" customFormat="1" ht="12.75"/>
    <row r="144" s="273" customFormat="1" ht="12.75"/>
    <row r="145" s="273" customFormat="1" ht="12.75"/>
    <row r="146" s="273" customFormat="1" ht="12.75"/>
    <row r="147" s="273" customFormat="1" ht="12.75"/>
    <row r="148" s="273" customFormat="1" ht="12.75"/>
    <row r="149" s="273" customFormat="1" ht="12.75"/>
    <row r="150" s="273" customFormat="1" ht="12.75"/>
    <row r="151" s="273" customFormat="1" ht="12.75"/>
    <row r="152" s="273" customFormat="1" ht="12.75"/>
    <row r="153" s="273" customFormat="1" ht="12.75"/>
    <row r="154" s="273" customFormat="1" ht="12.75"/>
    <row r="155" s="273" customFormat="1" ht="12.75"/>
    <row r="156" s="273" customFormat="1" ht="12.75"/>
    <row r="157" s="273" customFormat="1" ht="12.75"/>
    <row r="158" s="273" customFormat="1" ht="12.75"/>
    <row r="159" s="273" customFormat="1" ht="12.75"/>
    <row r="160" s="273" customFormat="1" ht="12.75"/>
    <row r="161" s="273" customFormat="1" ht="12.75"/>
    <row r="162" s="273" customFormat="1" ht="12.75"/>
    <row r="163" s="273" customFormat="1" ht="12.75"/>
    <row r="164" s="273" customFormat="1" ht="12.75"/>
    <row r="165" s="273" customFormat="1" ht="12.75"/>
    <row r="166" s="273" customFormat="1" ht="12.75"/>
    <row r="167" s="273" customFormat="1" ht="12.75"/>
    <row r="168" s="273" customFormat="1" ht="12.75"/>
    <row r="169" s="273" customFormat="1" ht="12.75"/>
    <row r="170" s="273" customFormat="1" ht="12.75"/>
    <row r="171" s="273" customFormat="1" ht="12.75"/>
    <row r="172" s="273" customFormat="1" ht="12.75"/>
    <row r="173" s="273" customFormat="1" ht="12.75"/>
    <row r="174" s="273" customFormat="1" ht="12.75"/>
    <row r="175" s="273" customFormat="1" ht="12.75"/>
    <row r="176" s="273" customFormat="1" ht="12.75"/>
    <row r="177" s="273" customFormat="1" ht="12.75"/>
    <row r="178" s="273" customFormat="1" ht="12.75"/>
    <row r="179" s="273" customFormat="1" ht="12.75"/>
    <row r="180" s="273" customFormat="1" ht="12.75"/>
    <row r="181" s="273" customFormat="1" ht="12.75"/>
    <row r="182" s="273" customFormat="1" ht="12.75"/>
    <row r="183" s="273" customFormat="1" ht="12.75"/>
    <row r="184" s="273" customFormat="1" ht="12.75"/>
    <row r="185" s="273" customFormat="1" ht="12.75"/>
    <row r="186" s="273" customFormat="1" ht="12.75"/>
    <row r="187" s="273" customFormat="1" ht="12.75"/>
    <row r="188" s="273" customFormat="1" ht="12.75"/>
    <row r="189" s="273" customFormat="1" ht="12.75"/>
    <row r="190" s="273" customFormat="1" ht="12.75"/>
    <row r="191" s="273" customFormat="1" ht="12.75"/>
    <row r="192" s="273" customFormat="1" ht="12.75"/>
    <row r="193" s="273" customFormat="1" ht="12.75"/>
    <row r="194" s="273" customFormat="1" ht="12.75"/>
    <row r="195" s="273" customFormat="1" ht="12.75"/>
    <row r="196" s="273" customFormat="1" ht="12.75"/>
    <row r="197" s="273" customFormat="1" ht="12.75"/>
    <row r="198" s="273" customFormat="1" ht="12.75"/>
    <row r="199" s="273" customFormat="1" ht="12.75"/>
    <row r="200" s="273" customFormat="1" ht="12.75"/>
    <row r="201" s="273" customFormat="1" ht="12.75"/>
    <row r="202" s="273" customFormat="1" ht="12.75"/>
    <row r="203" s="273" customFormat="1" ht="12.75"/>
    <row r="204" s="273" customFormat="1" ht="12.75"/>
    <row r="205" s="273" customFormat="1" ht="12.75"/>
    <row r="206" s="273" customFormat="1" ht="12.75"/>
    <row r="207" s="273" customFormat="1" ht="12.75"/>
    <row r="208" s="273" customFormat="1" ht="12.75"/>
    <row r="209" s="273" customFormat="1" ht="12.75"/>
    <row r="210" s="273" customFormat="1" ht="12.75"/>
    <row r="211" s="273" customFormat="1" ht="12.75"/>
    <row r="212" s="273" customFormat="1" ht="12.75"/>
    <row r="213" s="273" customFormat="1" ht="12.75"/>
    <row r="214" s="273" customFormat="1" ht="12.75"/>
    <row r="215" s="273" customFormat="1" ht="12.75"/>
    <row r="216" s="273" customFormat="1" ht="12.75"/>
    <row r="217" s="273" customFormat="1" ht="12.75"/>
    <row r="218" s="273" customFormat="1" ht="12.75"/>
    <row r="219" s="273" customFormat="1" ht="12.75"/>
    <row r="220" s="273" customFormat="1" ht="12.75"/>
    <row r="221" s="273" customFormat="1" ht="12.75"/>
    <row r="222" s="273" customFormat="1" ht="12.75"/>
    <row r="223" s="273" customFormat="1" ht="12.75"/>
    <row r="224" s="273" customFormat="1" ht="12.75"/>
    <row r="225" s="273" customFormat="1" ht="12.75"/>
    <row r="226" s="273" customFormat="1" ht="12.75"/>
    <row r="227" s="273" customFormat="1" ht="12.75"/>
    <row r="228" s="273" customFormat="1" ht="12.75"/>
    <row r="229" s="273" customFormat="1" ht="12.75"/>
    <row r="230" s="273" customFormat="1" ht="12.75"/>
    <row r="231" s="273" customFormat="1" ht="12.75"/>
  </sheetData>
  <mergeCells count="2">
    <mergeCell ref="A3:F3"/>
    <mergeCell ref="A4:F4"/>
  </mergeCells>
  <printOptions horizontalCentered="1"/>
  <pageMargins left="0.2362204724409449" right="0.2362204724409449" top="0.37" bottom="0.19" header="0.26" footer="0.17"/>
  <pageSetup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2"/>
  <sheetViews>
    <sheetView zoomScaleSheetLayoutView="100" workbookViewId="0" topLeftCell="A1">
      <selection activeCell="A29" sqref="A29"/>
    </sheetView>
  </sheetViews>
  <sheetFormatPr defaultColWidth="9.00390625" defaultRowHeight="12.75"/>
  <cols>
    <col min="1" max="1" width="112.25390625" style="0" customWidth="1"/>
    <col min="2" max="3" width="10.75390625" style="0" customWidth="1"/>
    <col min="4" max="5" width="10.75390625" style="250" customWidth="1"/>
    <col min="6" max="6" width="10.75390625" style="0" customWidth="1"/>
  </cols>
  <sheetData>
    <row r="1" spans="1:3" ht="12.75">
      <c r="A1" s="216" t="s">
        <v>973</v>
      </c>
      <c r="B1" s="190"/>
      <c r="C1" s="190"/>
    </row>
    <row r="3" spans="1:6" ht="15.75">
      <c r="A3" s="1175" t="s">
        <v>70</v>
      </c>
      <c r="B3" s="1175"/>
      <c r="C3" s="1175"/>
      <c r="D3" s="1175"/>
      <c r="E3" s="1175"/>
      <c r="F3" s="1175"/>
    </row>
    <row r="4" spans="1:6" ht="15.75">
      <c r="A4" s="1177" t="s">
        <v>912</v>
      </c>
      <c r="B4" s="1177"/>
      <c r="C4" s="1177"/>
      <c r="D4" s="1177"/>
      <c r="E4" s="1177"/>
      <c r="F4" s="1177"/>
    </row>
    <row r="5" spans="1:3" ht="16.5" thickBot="1">
      <c r="A5" s="32"/>
      <c r="B5" s="190"/>
      <c r="C5" s="190"/>
    </row>
    <row r="6" spans="1:6" s="273" customFormat="1" ht="13.5" thickTop="1">
      <c r="A6" s="271"/>
      <c r="B6" s="259" t="s">
        <v>512</v>
      </c>
      <c r="C6" s="259" t="s">
        <v>1150</v>
      </c>
      <c r="D6" s="446" t="s">
        <v>903</v>
      </c>
      <c r="E6" s="272" t="s">
        <v>1150</v>
      </c>
      <c r="F6" s="540" t="s">
        <v>386</v>
      </c>
    </row>
    <row r="7" spans="1:6" s="273" customFormat="1" ht="12.75">
      <c r="A7" s="274"/>
      <c r="B7" s="275"/>
      <c r="C7" s="276"/>
      <c r="D7" s="515"/>
      <c r="E7" s="289"/>
      <c r="F7" s="541"/>
    </row>
    <row r="8" spans="1:6" s="280" customFormat="1" ht="13.5">
      <c r="A8" s="277" t="s">
        <v>1024</v>
      </c>
      <c r="B8" s="278">
        <v>1076859</v>
      </c>
      <c r="C8" s="278">
        <v>41900</v>
      </c>
      <c r="D8" s="516">
        <f>SUM(D16,D27,D63,D107)</f>
        <v>1781565</v>
      </c>
      <c r="E8" s="236">
        <f>SUM(E16,E27,E63,E107)</f>
        <v>24000</v>
      </c>
      <c r="F8" s="248">
        <f>SUM(F16,F27,F63,F107)</f>
        <v>549111</v>
      </c>
    </row>
    <row r="9" spans="1:6" s="273" customFormat="1" ht="13.5">
      <c r="A9" s="281"/>
      <c r="B9" s="282"/>
      <c r="C9" s="276"/>
      <c r="D9" s="515"/>
      <c r="E9" s="276"/>
      <c r="F9" s="407"/>
    </row>
    <row r="10" spans="1:6" s="273" customFormat="1" ht="12.75">
      <c r="A10" s="283" t="s">
        <v>543</v>
      </c>
      <c r="B10" s="282"/>
      <c r="C10" s="276"/>
      <c r="D10" s="515"/>
      <c r="E10" s="276"/>
      <c r="F10" s="407"/>
    </row>
    <row r="11" spans="1:7" s="273" customFormat="1" ht="12.75">
      <c r="A11" s="284" t="s">
        <v>658</v>
      </c>
      <c r="B11" s="276">
        <v>41676</v>
      </c>
      <c r="C11" s="276"/>
      <c r="D11" s="515">
        <f>B11</f>
        <v>41676</v>
      </c>
      <c r="E11" s="276"/>
      <c r="F11" s="407">
        <v>1150</v>
      </c>
      <c r="G11" s="301"/>
    </row>
    <row r="12" spans="1:7" s="273" customFormat="1" ht="12.75">
      <c r="A12" s="284" t="s">
        <v>659</v>
      </c>
      <c r="B12" s="276">
        <v>10000</v>
      </c>
      <c r="C12" s="276"/>
      <c r="D12" s="515">
        <v>132</v>
      </c>
      <c r="E12" s="276"/>
      <c r="F12" s="407"/>
      <c r="G12" s="301"/>
    </row>
    <row r="13" spans="1:7" s="273" customFormat="1" ht="12.75">
      <c r="A13" s="284" t="s">
        <v>550</v>
      </c>
      <c r="B13" s="285">
        <v>2500</v>
      </c>
      <c r="C13" s="276"/>
      <c r="D13" s="515">
        <f>B13</f>
        <v>2500</v>
      </c>
      <c r="E13" s="276"/>
      <c r="F13" s="407">
        <v>2500</v>
      </c>
      <c r="G13" s="301"/>
    </row>
    <row r="14" spans="1:7" s="273" customFormat="1" ht="12.75">
      <c r="A14" s="284" t="s">
        <v>661</v>
      </c>
      <c r="B14" s="276">
        <v>6000</v>
      </c>
      <c r="C14" s="276"/>
      <c r="D14" s="515">
        <f>B14</f>
        <v>6000</v>
      </c>
      <c r="E14" s="276"/>
      <c r="F14" s="407">
        <v>3940</v>
      </c>
      <c r="G14" s="301"/>
    </row>
    <row r="15" spans="1:7" s="273" customFormat="1" ht="12.75">
      <c r="A15" s="287" t="s">
        <v>1152</v>
      </c>
      <c r="B15" s="276">
        <v>9000</v>
      </c>
      <c r="C15" s="276"/>
      <c r="D15" s="515">
        <f>B15</f>
        <v>9000</v>
      </c>
      <c r="E15" s="276"/>
      <c r="F15" s="407">
        <v>8788</v>
      </c>
      <c r="G15" s="301"/>
    </row>
    <row r="16" spans="1:9" s="286" customFormat="1" ht="12.75">
      <c r="A16" s="283" t="s">
        <v>1328</v>
      </c>
      <c r="B16" s="282">
        <v>54176</v>
      </c>
      <c r="C16" s="282">
        <v>0</v>
      </c>
      <c r="D16" s="517">
        <f>SUM(D11:D15)</f>
        <v>59308</v>
      </c>
      <c r="E16" s="268">
        <f>SUM(E11:E13)</f>
        <v>0</v>
      </c>
      <c r="F16" s="255">
        <f>SUM(F11:F15)</f>
        <v>16378</v>
      </c>
      <c r="G16" s="301"/>
      <c r="I16" s="307"/>
    </row>
    <row r="17" spans="1:7" s="273" customFormat="1" ht="12.75">
      <c r="A17" s="284"/>
      <c r="B17" s="282"/>
      <c r="C17" s="276"/>
      <c r="D17" s="515"/>
      <c r="E17" s="276"/>
      <c r="F17" s="407"/>
      <c r="G17" s="301"/>
    </row>
    <row r="18" spans="1:7" s="273" customFormat="1" ht="12.75">
      <c r="A18" s="283" t="s">
        <v>666</v>
      </c>
      <c r="B18" s="276"/>
      <c r="C18" s="276"/>
      <c r="D18" s="515"/>
      <c r="E18" s="276"/>
      <c r="F18" s="407"/>
      <c r="G18" s="301"/>
    </row>
    <row r="19" spans="1:7" s="273" customFormat="1" ht="12.75">
      <c r="A19" s="284" t="s">
        <v>656</v>
      </c>
      <c r="B19" s="276">
        <v>33258</v>
      </c>
      <c r="C19" s="276"/>
      <c r="D19" s="515">
        <v>34421</v>
      </c>
      <c r="E19" s="276"/>
      <c r="F19" s="407">
        <v>34421</v>
      </c>
      <c r="G19" s="301"/>
    </row>
    <row r="20" spans="1:7" s="273" customFormat="1" ht="12.75">
      <c r="A20" s="284" t="s">
        <v>657</v>
      </c>
      <c r="B20" s="276">
        <v>3295</v>
      </c>
      <c r="C20" s="276"/>
      <c r="D20" s="515">
        <v>3295</v>
      </c>
      <c r="E20" s="276"/>
      <c r="F20" s="407"/>
      <c r="G20" s="301"/>
    </row>
    <row r="21" spans="1:7" s="273" customFormat="1" ht="12.75">
      <c r="A21" s="284" t="s">
        <v>662</v>
      </c>
      <c r="B21" s="276">
        <v>4560</v>
      </c>
      <c r="C21" s="276"/>
      <c r="D21" s="515">
        <f>B21</f>
        <v>4560</v>
      </c>
      <c r="E21" s="276"/>
      <c r="F21" s="407">
        <v>4560</v>
      </c>
      <c r="G21" s="301"/>
    </row>
    <row r="22" spans="1:7" s="273" customFormat="1" ht="12.75">
      <c r="A22" s="284" t="s">
        <v>663</v>
      </c>
      <c r="B22" s="276">
        <v>3840</v>
      </c>
      <c r="C22" s="276"/>
      <c r="D22" s="515">
        <f>B22</f>
        <v>3840</v>
      </c>
      <c r="E22" s="276"/>
      <c r="F22" s="407">
        <v>3840</v>
      </c>
      <c r="G22" s="301"/>
    </row>
    <row r="23" spans="1:7" s="273" customFormat="1" ht="12.75">
      <c r="A23" s="284" t="s">
        <v>664</v>
      </c>
      <c r="B23" s="276">
        <v>4668</v>
      </c>
      <c r="C23" s="276"/>
      <c r="D23" s="515">
        <f>B23</f>
        <v>4668</v>
      </c>
      <c r="E23" s="276"/>
      <c r="F23" s="407">
        <v>4668</v>
      </c>
      <c r="G23" s="301"/>
    </row>
    <row r="24" spans="1:7" s="273" customFormat="1" ht="12.75">
      <c r="A24" s="284" t="s">
        <v>665</v>
      </c>
      <c r="B24" s="276">
        <v>1452</v>
      </c>
      <c r="C24" s="276"/>
      <c r="D24" s="515">
        <f>1452+61</f>
        <v>1513</v>
      </c>
      <c r="E24" s="276"/>
      <c r="F24" s="407">
        <v>1513</v>
      </c>
      <c r="G24" s="301"/>
    </row>
    <row r="25" spans="1:7" s="273" customFormat="1" ht="12.75">
      <c r="A25" s="287" t="s">
        <v>1384</v>
      </c>
      <c r="B25" s="276">
        <v>3000</v>
      </c>
      <c r="C25" s="276"/>
      <c r="D25" s="515">
        <f>B25</f>
        <v>3000</v>
      </c>
      <c r="E25" s="276"/>
      <c r="F25" s="407">
        <v>2996</v>
      </c>
      <c r="G25" s="301"/>
    </row>
    <row r="26" spans="1:7" s="273" customFormat="1" ht="12.75">
      <c r="A26" s="284" t="s">
        <v>660</v>
      </c>
      <c r="B26" s="276">
        <v>6000</v>
      </c>
      <c r="C26" s="276"/>
      <c r="D26" s="515">
        <v>0</v>
      </c>
      <c r="E26" s="276"/>
      <c r="F26" s="407"/>
      <c r="G26" s="301"/>
    </row>
    <row r="27" spans="1:7" s="286" customFormat="1" ht="12.75">
      <c r="A27" s="288" t="s">
        <v>1328</v>
      </c>
      <c r="B27" s="268">
        <v>75073</v>
      </c>
      <c r="C27" s="268">
        <v>0</v>
      </c>
      <c r="D27" s="517">
        <f>SUM(D19:D26)</f>
        <v>55297</v>
      </c>
      <c r="E27" s="268">
        <f>SUM(E19:E26)</f>
        <v>0</v>
      </c>
      <c r="F27" s="255">
        <f>SUM(F19:F26)</f>
        <v>51998</v>
      </c>
      <c r="G27" s="301"/>
    </row>
    <row r="28" spans="1:7" s="273" customFormat="1" ht="12.75">
      <c r="A28" s="284"/>
      <c r="B28" s="276"/>
      <c r="C28" s="276"/>
      <c r="D28" s="515"/>
      <c r="E28" s="276"/>
      <c r="F28" s="407"/>
      <c r="G28" s="301"/>
    </row>
    <row r="29" spans="1:7" s="273" customFormat="1" ht="12.75">
      <c r="A29" s="283" t="s">
        <v>644</v>
      </c>
      <c r="B29" s="276"/>
      <c r="C29" s="276"/>
      <c r="D29" s="515"/>
      <c r="E29" s="276"/>
      <c r="F29" s="407"/>
      <c r="G29" s="301"/>
    </row>
    <row r="30" spans="1:7" s="273" customFormat="1" ht="12.75">
      <c r="A30" s="284" t="s">
        <v>1135</v>
      </c>
      <c r="B30" s="276">
        <v>25000</v>
      </c>
      <c r="C30" s="276">
        <v>10000</v>
      </c>
      <c r="D30" s="515">
        <f>23560-61-3503-544</f>
        <v>19452</v>
      </c>
      <c r="E30" s="276"/>
      <c r="F30" s="407">
        <v>18150</v>
      </c>
      <c r="G30" s="301"/>
    </row>
    <row r="31" spans="1:7" s="273" customFormat="1" ht="12.75">
      <c r="A31" s="284" t="s">
        <v>464</v>
      </c>
      <c r="B31" s="276">
        <v>9000</v>
      </c>
      <c r="C31" s="276"/>
      <c r="D31" s="515">
        <f>12050+3503</f>
        <v>15553</v>
      </c>
      <c r="E31" s="276"/>
      <c r="F31" s="407">
        <v>15552</v>
      </c>
      <c r="G31" s="301"/>
    </row>
    <row r="32" spans="1:7" s="273" customFormat="1" ht="12.75">
      <c r="A32" s="284" t="s">
        <v>1038</v>
      </c>
      <c r="B32" s="276">
        <v>3000</v>
      </c>
      <c r="C32" s="276"/>
      <c r="D32" s="515">
        <v>3050</v>
      </c>
      <c r="E32" s="276"/>
      <c r="F32" s="407">
        <v>3050</v>
      </c>
      <c r="G32" s="301"/>
    </row>
    <row r="33" spans="1:7" s="273" customFormat="1" ht="12.75">
      <c r="A33" s="287" t="s">
        <v>1385</v>
      </c>
      <c r="B33" s="276">
        <v>800</v>
      </c>
      <c r="C33" s="276"/>
      <c r="D33" s="515">
        <f>B33</f>
        <v>800</v>
      </c>
      <c r="E33" s="276"/>
      <c r="F33" s="407"/>
      <c r="G33" s="301"/>
    </row>
    <row r="34" spans="1:7" s="273" customFormat="1" ht="12.75">
      <c r="A34" s="287" t="s">
        <v>1153</v>
      </c>
      <c r="B34" s="276">
        <v>700</v>
      </c>
      <c r="C34" s="276"/>
      <c r="D34" s="515">
        <f>B34</f>
        <v>700</v>
      </c>
      <c r="E34" s="276"/>
      <c r="F34" s="407">
        <v>691</v>
      </c>
      <c r="G34" s="301"/>
    </row>
    <row r="35" spans="1:7" s="273" customFormat="1" ht="12.75">
      <c r="A35" s="284" t="s">
        <v>1387</v>
      </c>
      <c r="B35" s="276">
        <v>4000</v>
      </c>
      <c r="C35" s="276">
        <v>4000</v>
      </c>
      <c r="D35" s="515">
        <f>B35</f>
        <v>4000</v>
      </c>
      <c r="E35" s="276">
        <f>C35</f>
        <v>4000</v>
      </c>
      <c r="F35" s="407"/>
      <c r="G35" s="301"/>
    </row>
    <row r="36" spans="1:7" s="273" customFormat="1" ht="12.75">
      <c r="A36" s="284" t="s">
        <v>1040</v>
      </c>
      <c r="B36" s="276">
        <v>2000</v>
      </c>
      <c r="C36" s="276"/>
      <c r="D36" s="515">
        <f>B36</f>
        <v>2000</v>
      </c>
      <c r="E36" s="276"/>
      <c r="F36" s="407"/>
      <c r="G36" s="301"/>
    </row>
    <row r="37" spans="1:7" s="273" customFormat="1" ht="12.75">
      <c r="A37" s="284" t="s">
        <v>1408</v>
      </c>
      <c r="B37" s="276">
        <v>6500</v>
      </c>
      <c r="C37" s="276"/>
      <c r="D37" s="515">
        <f>B37</f>
        <v>6500</v>
      </c>
      <c r="E37" s="276"/>
      <c r="F37" s="407"/>
      <c r="G37" s="301"/>
    </row>
    <row r="38" spans="1:7" s="273" customFormat="1" ht="12.75">
      <c r="A38" s="284" t="s">
        <v>1393</v>
      </c>
      <c r="B38" s="276"/>
      <c r="C38" s="276"/>
      <c r="D38" s="515"/>
      <c r="E38" s="276"/>
      <c r="F38" s="407"/>
      <c r="G38" s="301"/>
    </row>
    <row r="39" spans="1:7" s="273" customFormat="1" ht="12.75">
      <c r="A39" s="284" t="s">
        <v>1391</v>
      </c>
      <c r="B39" s="276">
        <v>23000</v>
      </c>
      <c r="C39" s="276">
        <v>8000</v>
      </c>
      <c r="D39" s="515">
        <f>23000-493-143</f>
        <v>22364</v>
      </c>
      <c r="E39" s="276">
        <f>C39</f>
        <v>8000</v>
      </c>
      <c r="F39" s="407">
        <v>10620</v>
      </c>
      <c r="G39" s="301"/>
    </row>
    <row r="40" spans="1:7" s="273" customFormat="1" ht="12.75">
      <c r="A40" s="284" t="s">
        <v>1392</v>
      </c>
      <c r="B40" s="276">
        <v>21800</v>
      </c>
      <c r="C40" s="276"/>
      <c r="D40" s="515">
        <v>3962</v>
      </c>
      <c r="E40" s="276"/>
      <c r="F40" s="407"/>
      <c r="G40" s="301"/>
    </row>
    <row r="41" spans="1:7" s="273" customFormat="1" ht="12.75">
      <c r="A41" s="284" t="s">
        <v>1136</v>
      </c>
      <c r="B41" s="276"/>
      <c r="C41" s="276"/>
      <c r="D41" s="515">
        <v>3000</v>
      </c>
      <c r="E41" s="276"/>
      <c r="F41" s="407">
        <v>1579</v>
      </c>
      <c r="G41" s="301"/>
    </row>
    <row r="42" spans="1:7" s="273" customFormat="1" ht="12.75">
      <c r="A42" s="284" t="s">
        <v>1394</v>
      </c>
      <c r="B42" s="276">
        <v>2000</v>
      </c>
      <c r="C42" s="276"/>
      <c r="D42" s="515">
        <v>0</v>
      </c>
      <c r="E42" s="276"/>
      <c r="F42" s="407"/>
      <c r="G42" s="301"/>
    </row>
    <row r="43" spans="1:7" s="273" customFormat="1" ht="12.75">
      <c r="A43" s="284" t="s">
        <v>1396</v>
      </c>
      <c r="B43" s="276">
        <v>6000</v>
      </c>
      <c r="C43" s="276">
        <v>2900</v>
      </c>
      <c r="D43" s="515">
        <v>1000</v>
      </c>
      <c r="E43" s="276"/>
      <c r="F43" s="407">
        <v>624</v>
      </c>
      <c r="G43" s="301"/>
    </row>
    <row r="44" spans="1:7" s="273" customFormat="1" ht="12.75">
      <c r="A44" s="274" t="s">
        <v>1399</v>
      </c>
      <c r="B44" s="285">
        <v>1560</v>
      </c>
      <c r="C44" s="276"/>
      <c r="D44" s="515">
        <f>B44</f>
        <v>1560</v>
      </c>
      <c r="E44" s="276"/>
      <c r="F44" s="407">
        <v>168</v>
      </c>
      <c r="G44" s="301"/>
    </row>
    <row r="45" spans="1:7" s="273" customFormat="1" ht="12.75">
      <c r="A45" s="284" t="s">
        <v>1388</v>
      </c>
      <c r="B45" s="276">
        <v>32000</v>
      </c>
      <c r="C45" s="276">
        <v>12000</v>
      </c>
      <c r="D45" s="515">
        <f>B45</f>
        <v>32000</v>
      </c>
      <c r="E45" s="276">
        <f>C45</f>
        <v>12000</v>
      </c>
      <c r="F45" s="407">
        <v>16019</v>
      </c>
      <c r="G45" s="301"/>
    </row>
    <row r="46" spans="1:7" s="273" customFormat="1" ht="12.75">
      <c r="A46" s="284" t="s">
        <v>796</v>
      </c>
      <c r="B46" s="276"/>
      <c r="C46" s="276"/>
      <c r="D46" s="515">
        <v>2285</v>
      </c>
      <c r="E46" s="276"/>
      <c r="F46" s="407">
        <v>2285</v>
      </c>
      <c r="G46" s="301"/>
    </row>
    <row r="47" spans="1:7" s="273" customFormat="1" ht="12.75">
      <c r="A47" s="284" t="s">
        <v>797</v>
      </c>
      <c r="B47" s="276"/>
      <c r="C47" s="289"/>
      <c r="D47" s="515">
        <v>1360</v>
      </c>
      <c r="E47" s="276"/>
      <c r="F47" s="407">
        <v>1360</v>
      </c>
      <c r="G47" s="301"/>
    </row>
    <row r="48" spans="1:7" s="273" customFormat="1" ht="12.75">
      <c r="A48" s="290" t="s">
        <v>24</v>
      </c>
      <c r="B48" s="291"/>
      <c r="C48" s="292"/>
      <c r="D48" s="518">
        <f>926+143</f>
        <v>1069</v>
      </c>
      <c r="E48" s="276"/>
      <c r="F48" s="407">
        <v>1069</v>
      </c>
      <c r="G48" s="301"/>
    </row>
    <row r="49" spans="1:7" s="273" customFormat="1" ht="12.75">
      <c r="A49" s="290" t="s">
        <v>26</v>
      </c>
      <c r="B49" s="291"/>
      <c r="C49" s="292"/>
      <c r="D49" s="518">
        <v>367</v>
      </c>
      <c r="E49" s="276"/>
      <c r="F49" s="407">
        <v>367</v>
      </c>
      <c r="G49" s="301"/>
    </row>
    <row r="50" spans="1:8" s="273" customFormat="1" ht="12.75">
      <c r="A50" s="284" t="s">
        <v>1142</v>
      </c>
      <c r="B50" s="276"/>
      <c r="C50" s="289"/>
      <c r="D50" s="518">
        <v>1388</v>
      </c>
      <c r="E50" s="276"/>
      <c r="F50" s="407"/>
      <c r="G50" s="301"/>
      <c r="H50" s="301"/>
    </row>
    <row r="51" spans="1:7" s="273" customFormat="1" ht="12.75">
      <c r="A51" s="284" t="s">
        <v>1143</v>
      </c>
      <c r="B51" s="276"/>
      <c r="C51" s="289"/>
      <c r="D51" s="518">
        <v>1046</v>
      </c>
      <c r="E51" s="276"/>
      <c r="F51" s="407"/>
      <c r="G51" s="301"/>
    </row>
    <row r="52" spans="1:7" s="273" customFormat="1" ht="12.75">
      <c r="A52" s="284" t="s">
        <v>25</v>
      </c>
      <c r="B52" s="276"/>
      <c r="C52" s="289"/>
      <c r="D52" s="518">
        <v>101</v>
      </c>
      <c r="E52" s="276"/>
      <c r="F52" s="407">
        <v>101</v>
      </c>
      <c r="G52" s="301"/>
    </row>
    <row r="53" spans="1:7" s="273" customFormat="1" ht="12.75">
      <c r="A53" s="284" t="s">
        <v>436</v>
      </c>
      <c r="B53" s="276"/>
      <c r="C53" s="289"/>
      <c r="D53" s="518">
        <v>780</v>
      </c>
      <c r="E53" s="276"/>
      <c r="F53" s="407"/>
      <c r="G53" s="301"/>
    </row>
    <row r="54" spans="1:7" s="273" customFormat="1" ht="12.75">
      <c r="A54" s="284" t="s">
        <v>437</v>
      </c>
      <c r="B54" s="276"/>
      <c r="C54" s="289"/>
      <c r="D54" s="515">
        <f>800-19</f>
        <v>781</v>
      </c>
      <c r="E54" s="276"/>
      <c r="F54" s="407"/>
      <c r="G54" s="301"/>
    </row>
    <row r="55" spans="1:7" s="273" customFormat="1" ht="12.75">
      <c r="A55" s="290" t="s">
        <v>383</v>
      </c>
      <c r="B55" s="291"/>
      <c r="C55" s="292"/>
      <c r="D55" s="518"/>
      <c r="E55" s="291"/>
      <c r="F55" s="408"/>
      <c r="G55" s="301"/>
    </row>
    <row r="56" spans="1:7" s="273" customFormat="1" ht="12.75">
      <c r="A56" s="290" t="s">
        <v>384</v>
      </c>
      <c r="B56" s="291"/>
      <c r="C56" s="292"/>
      <c r="D56" s="518">
        <f>456+19</f>
        <v>475</v>
      </c>
      <c r="E56" s="291"/>
      <c r="F56" s="408">
        <v>475</v>
      </c>
      <c r="G56" s="301"/>
    </row>
    <row r="57" spans="1:7" s="273" customFormat="1" ht="12.75">
      <c r="A57" s="290" t="s">
        <v>385</v>
      </c>
      <c r="B57" s="291"/>
      <c r="C57" s="292"/>
      <c r="D57" s="518">
        <v>1388</v>
      </c>
      <c r="E57" s="291"/>
      <c r="F57" s="408">
        <v>1388</v>
      </c>
      <c r="G57" s="301"/>
    </row>
    <row r="58" spans="1:7" s="273" customFormat="1" ht="12.75">
      <c r="A58" s="290" t="s">
        <v>387</v>
      </c>
      <c r="B58" s="291"/>
      <c r="C58" s="292"/>
      <c r="D58" s="518">
        <v>583</v>
      </c>
      <c r="E58" s="291"/>
      <c r="F58" s="408"/>
      <c r="G58" s="301"/>
    </row>
    <row r="59" spans="1:7" s="273" customFormat="1" ht="12.75">
      <c r="A59" s="290" t="s">
        <v>465</v>
      </c>
      <c r="B59" s="291"/>
      <c r="C59" s="292"/>
      <c r="D59" s="518">
        <v>341</v>
      </c>
      <c r="E59" s="291"/>
      <c r="F59" s="408">
        <v>341</v>
      </c>
      <c r="G59" s="301"/>
    </row>
    <row r="60" spans="1:7" s="273" customFormat="1" ht="12.75">
      <c r="A60" s="457" t="s">
        <v>466</v>
      </c>
      <c r="B60" s="291"/>
      <c r="C60" s="292"/>
      <c r="D60" s="518">
        <v>544</v>
      </c>
      <c r="E60" s="291"/>
      <c r="F60" s="408">
        <v>544</v>
      </c>
      <c r="G60" s="301"/>
    </row>
    <row r="61" spans="1:7" s="273" customFormat="1" ht="12.75">
      <c r="A61" s="457" t="s">
        <v>467</v>
      </c>
      <c r="B61" s="291"/>
      <c r="C61" s="292"/>
      <c r="D61" s="518">
        <v>6</v>
      </c>
      <c r="E61" s="291"/>
      <c r="F61" s="408">
        <v>6</v>
      </c>
      <c r="G61" s="301"/>
    </row>
    <row r="62" spans="1:7" s="273" customFormat="1" ht="12.75">
      <c r="A62" s="457" t="s">
        <v>468</v>
      </c>
      <c r="B62" s="291"/>
      <c r="C62" s="292"/>
      <c r="D62" s="518">
        <v>448</v>
      </c>
      <c r="E62" s="291"/>
      <c r="F62" s="408">
        <v>448</v>
      </c>
      <c r="G62" s="301"/>
    </row>
    <row r="63" spans="1:7" s="273" customFormat="1" ht="13.5" thickBot="1">
      <c r="A63" s="293" t="s">
        <v>1328</v>
      </c>
      <c r="B63" s="294">
        <v>167360</v>
      </c>
      <c r="C63" s="294">
        <v>41900</v>
      </c>
      <c r="D63" s="519">
        <f>SUM(D30:D62)</f>
        <v>128903</v>
      </c>
      <c r="E63" s="254">
        <f>SUM(E30:E58)</f>
        <v>24000</v>
      </c>
      <c r="F63" s="305">
        <f>SUM(F30:F62)</f>
        <v>74837</v>
      </c>
      <c r="G63" s="301"/>
    </row>
    <row r="64" spans="1:7" s="273" customFormat="1" ht="13.5" thickTop="1">
      <c r="A64" s="271"/>
      <c r="B64" s="259" t="s">
        <v>512</v>
      </c>
      <c r="C64" s="259" t="s">
        <v>1150</v>
      </c>
      <c r="D64" s="446" t="s">
        <v>903</v>
      </c>
      <c r="E64" s="272" t="s">
        <v>1150</v>
      </c>
      <c r="F64" s="540" t="s">
        <v>386</v>
      </c>
      <c r="G64" s="301"/>
    </row>
    <row r="65" spans="1:7" s="273" customFormat="1" ht="12.75">
      <c r="A65" s="283" t="s">
        <v>547</v>
      </c>
      <c r="B65" s="275"/>
      <c r="C65" s="276"/>
      <c r="D65" s="515"/>
      <c r="E65" s="276"/>
      <c r="F65" s="407"/>
      <c r="G65" s="301"/>
    </row>
    <row r="66" spans="1:7" s="273" customFormat="1" ht="12.75">
      <c r="A66" s="284" t="s">
        <v>667</v>
      </c>
      <c r="B66" s="276">
        <v>60000</v>
      </c>
      <c r="C66" s="276"/>
      <c r="D66" s="515">
        <f>B66</f>
        <v>60000</v>
      </c>
      <c r="E66" s="276"/>
      <c r="F66" s="407">
        <v>22596</v>
      </c>
      <c r="G66" s="301"/>
    </row>
    <row r="67" spans="1:7" s="273" customFormat="1" ht="12.75">
      <c r="A67" s="284" t="s">
        <v>1165</v>
      </c>
      <c r="B67" s="276">
        <v>50000</v>
      </c>
      <c r="C67" s="276"/>
      <c r="D67" s="515">
        <f aca="true" t="shared" si="0" ref="D67:D76">B67</f>
        <v>50000</v>
      </c>
      <c r="E67" s="276"/>
      <c r="F67" s="407"/>
      <c r="G67" s="301"/>
    </row>
    <row r="68" spans="1:7" s="273" customFormat="1" ht="12.75">
      <c r="A68" s="284" t="s">
        <v>669</v>
      </c>
      <c r="B68" s="276">
        <v>20000</v>
      </c>
      <c r="C68" s="276"/>
      <c r="D68" s="515">
        <f t="shared" si="0"/>
        <v>20000</v>
      </c>
      <c r="E68" s="276"/>
      <c r="F68" s="407">
        <v>3296</v>
      </c>
      <c r="G68" s="301"/>
    </row>
    <row r="69" spans="1:7" s="273" customFormat="1" ht="12.75">
      <c r="A69" s="284" t="s">
        <v>670</v>
      </c>
      <c r="B69" s="276">
        <v>12000</v>
      </c>
      <c r="C69" s="276"/>
      <c r="D69" s="515">
        <f t="shared" si="0"/>
        <v>12000</v>
      </c>
      <c r="E69" s="276"/>
      <c r="F69" s="407">
        <v>89</v>
      </c>
      <c r="G69" s="301"/>
    </row>
    <row r="70" spans="1:7" s="273" customFormat="1" ht="12.75">
      <c r="A70" s="287" t="s">
        <v>1273</v>
      </c>
      <c r="B70" s="276">
        <v>9600</v>
      </c>
      <c r="C70" s="276"/>
      <c r="D70" s="515">
        <f t="shared" si="0"/>
        <v>9600</v>
      </c>
      <c r="E70" s="276"/>
      <c r="F70" s="407">
        <v>5136</v>
      </c>
      <c r="G70" s="301"/>
    </row>
    <row r="71" spans="1:7" s="273" customFormat="1" ht="12.75">
      <c r="A71" s="284" t="s">
        <v>1383</v>
      </c>
      <c r="B71" s="276">
        <v>346948</v>
      </c>
      <c r="C71" s="276"/>
      <c r="D71" s="515">
        <v>231400</v>
      </c>
      <c r="E71" s="276"/>
      <c r="F71" s="407">
        <v>231400</v>
      </c>
      <c r="G71" s="301"/>
    </row>
    <row r="72" spans="1:7" s="273" customFormat="1" ht="12.75">
      <c r="A72" s="284" t="s">
        <v>1386</v>
      </c>
      <c r="B72" s="276">
        <v>3000</v>
      </c>
      <c r="C72" s="276"/>
      <c r="D72" s="515">
        <f t="shared" si="0"/>
        <v>3000</v>
      </c>
      <c r="E72" s="276"/>
      <c r="F72" s="407"/>
      <c r="G72" s="301"/>
    </row>
    <row r="73" spans="1:7" s="273" customFormat="1" ht="12.75">
      <c r="A73" s="284" t="s">
        <v>1390</v>
      </c>
      <c r="B73" s="276">
        <v>1500</v>
      </c>
      <c r="C73" s="276"/>
      <c r="D73" s="515">
        <f t="shared" si="0"/>
        <v>1500</v>
      </c>
      <c r="E73" s="276"/>
      <c r="F73" s="407"/>
      <c r="G73" s="301"/>
    </row>
    <row r="74" spans="1:7" s="273" customFormat="1" ht="12.75">
      <c r="A74" s="284" t="s">
        <v>1144</v>
      </c>
      <c r="B74" s="276">
        <v>2200</v>
      </c>
      <c r="C74" s="276"/>
      <c r="D74" s="515">
        <v>4000</v>
      </c>
      <c r="E74" s="276"/>
      <c r="F74" s="407">
        <v>600</v>
      </c>
      <c r="G74" s="301"/>
    </row>
    <row r="75" spans="1:7" s="273" customFormat="1" ht="12.75">
      <c r="A75" s="284" t="s">
        <v>1395</v>
      </c>
      <c r="B75" s="276">
        <v>92252</v>
      </c>
      <c r="C75" s="276"/>
      <c r="D75" s="515">
        <v>211131</v>
      </c>
      <c r="E75" s="276"/>
      <c r="F75" s="407">
        <v>11665</v>
      </c>
      <c r="G75" s="301"/>
    </row>
    <row r="76" spans="1:7" s="273" customFormat="1" ht="12.75">
      <c r="A76" s="284" t="s">
        <v>1397</v>
      </c>
      <c r="B76" s="276">
        <v>5000</v>
      </c>
      <c r="C76" s="276"/>
      <c r="D76" s="515">
        <f t="shared" si="0"/>
        <v>5000</v>
      </c>
      <c r="E76" s="276"/>
      <c r="F76" s="407"/>
      <c r="G76" s="301"/>
    </row>
    <row r="77" spans="1:7" s="273" customFormat="1" ht="12.75">
      <c r="A77" s="274" t="s">
        <v>642</v>
      </c>
      <c r="B77" s="285">
        <v>50000</v>
      </c>
      <c r="C77" s="276"/>
      <c r="D77" s="515">
        <f>125000+167386</f>
        <v>292386</v>
      </c>
      <c r="E77" s="276"/>
      <c r="F77" s="407">
        <v>1531</v>
      </c>
      <c r="G77" s="301"/>
    </row>
    <row r="78" spans="1:7" s="273" customFormat="1" ht="12.75">
      <c r="A78" s="274" t="s">
        <v>549</v>
      </c>
      <c r="B78" s="285">
        <v>25000</v>
      </c>
      <c r="C78" s="276"/>
      <c r="D78" s="515">
        <v>0</v>
      </c>
      <c r="E78" s="276"/>
      <c r="F78" s="407"/>
      <c r="G78" s="301"/>
    </row>
    <row r="79" spans="1:7" s="273" customFormat="1" ht="12.75">
      <c r="A79" s="274" t="s">
        <v>645</v>
      </c>
      <c r="B79" s="285">
        <v>102750</v>
      </c>
      <c r="C79" s="276"/>
      <c r="D79" s="515">
        <f>99448+2632+670</f>
        <v>102750</v>
      </c>
      <c r="E79" s="276"/>
      <c r="F79" s="407">
        <v>5312</v>
      </c>
      <c r="G79" s="301"/>
    </row>
    <row r="80" spans="1:7" s="273" customFormat="1" ht="12.75">
      <c r="A80" s="284" t="s">
        <v>552</v>
      </c>
      <c r="B80" s="276">
        <v>5000</v>
      </c>
      <c r="C80" s="276">
        <v>5000</v>
      </c>
      <c r="D80" s="515">
        <f>5000-598</f>
        <v>4402</v>
      </c>
      <c r="E80" s="276"/>
      <c r="F80" s="407">
        <v>1254</v>
      </c>
      <c r="G80" s="301"/>
    </row>
    <row r="81" spans="1:7" s="273" customFormat="1" ht="12.75">
      <c r="A81" s="287" t="s">
        <v>1039</v>
      </c>
      <c r="B81" s="276">
        <v>5000</v>
      </c>
      <c r="C81" s="276"/>
      <c r="D81" s="515">
        <f>5000+598</f>
        <v>5598</v>
      </c>
      <c r="E81" s="276"/>
      <c r="F81" s="407">
        <v>5598</v>
      </c>
      <c r="G81" s="301"/>
    </row>
    <row r="82" spans="1:7" s="273" customFormat="1" ht="12.75">
      <c r="A82" s="287" t="s">
        <v>1151</v>
      </c>
      <c r="B82" s="276">
        <v>3000</v>
      </c>
      <c r="C82" s="276"/>
      <c r="D82" s="515">
        <f>B82</f>
        <v>3000</v>
      </c>
      <c r="E82" s="276"/>
      <c r="F82" s="407">
        <v>2884</v>
      </c>
      <c r="G82" s="301"/>
    </row>
    <row r="83" spans="1:7" s="273" customFormat="1" ht="12.75">
      <c r="A83" s="284" t="s">
        <v>1389</v>
      </c>
      <c r="B83" s="276">
        <v>5000</v>
      </c>
      <c r="C83" s="276"/>
      <c r="D83" s="515">
        <f>B83</f>
        <v>5000</v>
      </c>
      <c r="E83" s="276"/>
      <c r="F83" s="407"/>
      <c r="G83" s="301"/>
    </row>
    <row r="84" spans="1:7" s="273" customFormat="1" ht="12.75">
      <c r="A84" s="284" t="s">
        <v>1398</v>
      </c>
      <c r="B84" s="276">
        <v>5000</v>
      </c>
      <c r="C84" s="276"/>
      <c r="D84" s="515">
        <f>B84</f>
        <v>5000</v>
      </c>
      <c r="E84" s="276"/>
      <c r="F84" s="407"/>
      <c r="G84" s="301"/>
    </row>
    <row r="85" spans="1:7" s="273" customFormat="1" ht="12.75">
      <c r="A85" s="274" t="s">
        <v>553</v>
      </c>
      <c r="B85" s="285">
        <v>7000</v>
      </c>
      <c r="C85" s="276"/>
      <c r="D85" s="515">
        <f>B85</f>
        <v>7000</v>
      </c>
      <c r="E85" s="276"/>
      <c r="F85" s="407"/>
      <c r="G85" s="301"/>
    </row>
    <row r="86" spans="1:7" s="273" customFormat="1" ht="12.75">
      <c r="A86" s="284" t="s">
        <v>1137</v>
      </c>
      <c r="B86" s="276"/>
      <c r="C86" s="276"/>
      <c r="D86" s="515">
        <v>10000</v>
      </c>
      <c r="E86" s="276"/>
      <c r="F86" s="407">
        <v>10000</v>
      </c>
      <c r="G86" s="301"/>
    </row>
    <row r="87" spans="1:7" s="273" customFormat="1" ht="12.75">
      <c r="A87" s="290" t="s">
        <v>1138</v>
      </c>
      <c r="B87" s="291"/>
      <c r="C87" s="292"/>
      <c r="D87" s="515">
        <v>3000</v>
      </c>
      <c r="E87" s="291"/>
      <c r="F87" s="408">
        <v>63</v>
      </c>
      <c r="G87" s="301"/>
    </row>
    <row r="88" spans="1:7" s="273" customFormat="1" ht="12.75">
      <c r="A88" s="290" t="s">
        <v>1139</v>
      </c>
      <c r="B88" s="291"/>
      <c r="C88" s="292"/>
      <c r="D88" s="515">
        <v>3000</v>
      </c>
      <c r="E88" s="291"/>
      <c r="F88" s="408"/>
      <c r="G88" s="301"/>
    </row>
    <row r="89" spans="1:7" s="273" customFormat="1" ht="12.75">
      <c r="A89" s="290" t="s">
        <v>1140</v>
      </c>
      <c r="B89" s="291"/>
      <c r="C89" s="292"/>
      <c r="D89" s="515">
        <v>5000</v>
      </c>
      <c r="E89" s="291"/>
      <c r="F89" s="408"/>
      <c r="G89" s="301"/>
    </row>
    <row r="90" spans="1:7" s="273" customFormat="1" ht="12.75">
      <c r="A90" s="284" t="s">
        <v>1141</v>
      </c>
      <c r="B90" s="276"/>
      <c r="C90" s="289"/>
      <c r="D90" s="515">
        <v>3000</v>
      </c>
      <c r="E90" s="276"/>
      <c r="F90" s="407">
        <v>3000</v>
      </c>
      <c r="G90" s="301"/>
    </row>
    <row r="91" spans="1:7" s="273" customFormat="1" ht="12.75">
      <c r="A91" s="284" t="s">
        <v>438</v>
      </c>
      <c r="B91" s="276"/>
      <c r="C91" s="289"/>
      <c r="D91" s="515">
        <v>1000</v>
      </c>
      <c r="E91" s="276"/>
      <c r="F91" s="407"/>
      <c r="G91" s="301"/>
    </row>
    <row r="92" spans="1:7" s="273" customFormat="1" ht="12.75">
      <c r="A92" s="284" t="s">
        <v>798</v>
      </c>
      <c r="B92" s="276"/>
      <c r="C92" s="276"/>
      <c r="D92" s="515">
        <v>22740</v>
      </c>
      <c r="E92" s="276"/>
      <c r="F92" s="407">
        <v>22740</v>
      </c>
      <c r="G92" s="301"/>
    </row>
    <row r="93" spans="1:7" s="273" customFormat="1" ht="12.75">
      <c r="A93" s="284" t="s">
        <v>1062</v>
      </c>
      <c r="B93" s="276"/>
      <c r="C93" s="276"/>
      <c r="D93" s="515">
        <v>25000</v>
      </c>
      <c r="E93" s="276"/>
      <c r="F93" s="407">
        <v>25000</v>
      </c>
      <c r="G93" s="301"/>
    </row>
    <row r="94" spans="1:7" s="273" customFormat="1" ht="12.75">
      <c r="A94" s="284" t="s">
        <v>799</v>
      </c>
      <c r="B94" s="276"/>
      <c r="C94" s="289"/>
      <c r="D94" s="515">
        <v>2625</v>
      </c>
      <c r="E94" s="276"/>
      <c r="F94" s="407"/>
      <c r="G94" s="301"/>
    </row>
    <row r="95" spans="1:7" s="273" customFormat="1" ht="12.75">
      <c r="A95" s="284" t="s">
        <v>434</v>
      </c>
      <c r="B95" s="276"/>
      <c r="C95" s="289"/>
      <c r="D95" s="515">
        <v>1015</v>
      </c>
      <c r="E95" s="276"/>
      <c r="F95" s="407">
        <v>1015</v>
      </c>
      <c r="G95" s="301"/>
    </row>
    <row r="96" spans="1:7" s="273" customFormat="1" ht="12.75">
      <c r="A96" s="284" t="s">
        <v>435</v>
      </c>
      <c r="B96" s="276"/>
      <c r="C96" s="289"/>
      <c r="D96" s="515">
        <v>10000</v>
      </c>
      <c r="E96" s="276"/>
      <c r="F96" s="407"/>
      <c r="G96" s="301"/>
    </row>
    <row r="97" spans="1:7" s="273" customFormat="1" ht="12.75">
      <c r="A97" s="284" t="s">
        <v>252</v>
      </c>
      <c r="B97" s="276"/>
      <c r="C97" s="289"/>
      <c r="D97" s="515">
        <v>10000</v>
      </c>
      <c r="E97" s="276"/>
      <c r="F97" s="407">
        <v>8559</v>
      </c>
      <c r="G97" s="301"/>
    </row>
    <row r="98" spans="1:7" s="273" customFormat="1" ht="12.75">
      <c r="A98" s="284" t="s">
        <v>388</v>
      </c>
      <c r="B98" s="276"/>
      <c r="C98" s="289"/>
      <c r="D98" s="515">
        <v>14000</v>
      </c>
      <c r="E98" s="276"/>
      <c r="F98" s="407">
        <v>3137</v>
      </c>
      <c r="G98" s="301"/>
    </row>
    <row r="99" spans="1:7" s="273" customFormat="1" ht="12.75">
      <c r="A99" s="284" t="s">
        <v>441</v>
      </c>
      <c r="B99" s="276"/>
      <c r="C99" s="289"/>
      <c r="D99" s="515">
        <v>43875</v>
      </c>
      <c r="E99" s="276"/>
      <c r="F99" s="407">
        <v>35100</v>
      </c>
      <c r="G99" s="301"/>
    </row>
    <row r="100" spans="1:7" s="273" customFormat="1" ht="12.75">
      <c r="A100" s="284" t="s">
        <v>442</v>
      </c>
      <c r="B100" s="276"/>
      <c r="C100" s="289"/>
      <c r="D100" s="515">
        <v>7200</v>
      </c>
      <c r="E100" s="276"/>
      <c r="F100" s="407">
        <v>2200</v>
      </c>
      <c r="G100" s="301"/>
    </row>
    <row r="101" spans="1:7" s="273" customFormat="1" ht="12.75">
      <c r="A101" s="284" t="s">
        <v>443</v>
      </c>
      <c r="B101" s="276"/>
      <c r="C101" s="289"/>
      <c r="D101" s="515">
        <v>11100</v>
      </c>
      <c r="E101" s="276"/>
      <c r="F101" s="407"/>
      <c r="G101" s="301"/>
    </row>
    <row r="102" spans="1:7" s="273" customFormat="1" ht="12.75">
      <c r="A102" s="284" t="s">
        <v>389</v>
      </c>
      <c r="B102" s="276"/>
      <c r="C102" s="289"/>
      <c r="D102" s="515">
        <v>1000</v>
      </c>
      <c r="E102" s="276"/>
      <c r="F102" s="407"/>
      <c r="G102" s="301"/>
    </row>
    <row r="103" spans="1:7" s="273" customFormat="1" ht="12.75">
      <c r="A103" s="284" t="s">
        <v>1214</v>
      </c>
      <c r="B103" s="276"/>
      <c r="C103" s="289"/>
      <c r="D103" s="515">
        <v>220000</v>
      </c>
      <c r="E103" s="276"/>
      <c r="F103" s="407"/>
      <c r="G103" s="301"/>
    </row>
    <row r="104" spans="1:7" s="273" customFormat="1" ht="12.75">
      <c r="A104" s="284" t="s">
        <v>1215</v>
      </c>
      <c r="B104" s="276"/>
      <c r="C104" s="289"/>
      <c r="D104" s="515">
        <v>8435</v>
      </c>
      <c r="E104" s="276"/>
      <c r="F104" s="407">
        <v>2998</v>
      </c>
      <c r="G104" s="301"/>
    </row>
    <row r="105" spans="1:7" s="273" customFormat="1" ht="12.75">
      <c r="A105" s="284" t="s">
        <v>1216</v>
      </c>
      <c r="B105" s="276"/>
      <c r="C105" s="289"/>
      <c r="D105" s="515">
        <v>3300</v>
      </c>
      <c r="E105" s="276"/>
      <c r="F105" s="407">
        <v>725</v>
      </c>
      <c r="G105" s="301"/>
    </row>
    <row r="106" spans="1:7" s="273" customFormat="1" ht="12.75">
      <c r="A106" s="284" t="s">
        <v>1063</v>
      </c>
      <c r="B106" s="276"/>
      <c r="C106" s="289"/>
      <c r="D106" s="515">
        <f>484725-384725</f>
        <v>100000</v>
      </c>
      <c r="E106" s="276"/>
      <c r="F106" s="407"/>
      <c r="G106" s="301"/>
    </row>
    <row r="107" spans="1:7" s="286" customFormat="1" ht="12.75">
      <c r="A107" s="295" t="s">
        <v>1328</v>
      </c>
      <c r="B107" s="282">
        <v>780250</v>
      </c>
      <c r="C107" s="282">
        <v>0</v>
      </c>
      <c r="D107" s="517">
        <f>SUM(D66:D106)</f>
        <v>1538057</v>
      </c>
      <c r="E107" s="268">
        <f>SUM(E66:E94)</f>
        <v>0</v>
      </c>
      <c r="F107" s="255">
        <f>SUM(F66:F106)</f>
        <v>405898</v>
      </c>
      <c r="G107" s="301"/>
    </row>
    <row r="108" spans="1:7" s="286" customFormat="1" ht="12.75">
      <c r="A108" s="295"/>
      <c r="B108" s="282"/>
      <c r="C108" s="282"/>
      <c r="D108" s="517"/>
      <c r="E108" s="268"/>
      <c r="F108" s="255"/>
      <c r="G108" s="301"/>
    </row>
    <row r="109" spans="1:7" s="297" customFormat="1" ht="13.5">
      <c r="A109" s="296" t="s">
        <v>506</v>
      </c>
      <c r="B109" s="279">
        <v>11000</v>
      </c>
      <c r="C109" s="279">
        <v>11000</v>
      </c>
      <c r="D109" s="520">
        <f>SUM(D110:D111)</f>
        <v>8348</v>
      </c>
      <c r="E109" s="279">
        <f>SUM(E110:E111)</f>
        <v>0</v>
      </c>
      <c r="F109" s="260">
        <f>SUM(F110:F111)</f>
        <v>5984</v>
      </c>
      <c r="G109" s="301"/>
    </row>
    <row r="110" spans="1:7" s="273" customFormat="1" ht="12.75">
      <c r="A110" s="284" t="s">
        <v>253</v>
      </c>
      <c r="B110" s="276">
        <v>11000</v>
      </c>
      <c r="C110" s="276">
        <v>11000</v>
      </c>
      <c r="D110" s="515">
        <v>1000</v>
      </c>
      <c r="E110" s="276"/>
      <c r="F110" s="407">
        <v>654</v>
      </c>
      <c r="G110" s="301"/>
    </row>
    <row r="111" spans="1:7" s="273" customFormat="1" ht="12.75">
      <c r="A111" s="284" t="s">
        <v>254</v>
      </c>
      <c r="B111" s="276"/>
      <c r="C111" s="276"/>
      <c r="D111" s="515">
        <v>7348</v>
      </c>
      <c r="E111" s="276"/>
      <c r="F111" s="407">
        <v>5330</v>
      </c>
      <c r="G111" s="301"/>
    </row>
    <row r="112" spans="1:7" s="273" customFormat="1" ht="12.75">
      <c r="A112" s="284"/>
      <c r="B112" s="276"/>
      <c r="C112" s="276"/>
      <c r="D112" s="515"/>
      <c r="E112" s="276"/>
      <c r="F112" s="407"/>
      <c r="G112" s="301"/>
    </row>
    <row r="113" spans="1:7" s="298" customFormat="1" ht="13.5">
      <c r="A113" s="296" t="s">
        <v>1282</v>
      </c>
      <c r="B113" s="278">
        <v>3030</v>
      </c>
      <c r="C113" s="278">
        <v>2100</v>
      </c>
      <c r="D113" s="521">
        <f>SUM(D114:D126)</f>
        <v>35321</v>
      </c>
      <c r="E113" s="245">
        <f>SUM(E114:E116)</f>
        <v>2100</v>
      </c>
      <c r="F113" s="376">
        <f>SUM(F114:F126)</f>
        <v>32016</v>
      </c>
      <c r="G113" s="301"/>
    </row>
    <row r="114" spans="1:7" s="273" customFormat="1" ht="12.75">
      <c r="A114" s="284" t="s">
        <v>1405</v>
      </c>
      <c r="B114" s="276">
        <v>2100</v>
      </c>
      <c r="C114" s="276">
        <v>2100</v>
      </c>
      <c r="D114" s="515">
        <v>2600</v>
      </c>
      <c r="E114" s="276">
        <v>2100</v>
      </c>
      <c r="F114" s="407">
        <v>500</v>
      </c>
      <c r="G114" s="301"/>
    </row>
    <row r="115" spans="1:7" s="273" customFormat="1" ht="12.75">
      <c r="A115" s="284" t="s">
        <v>1406</v>
      </c>
      <c r="B115" s="276">
        <v>930</v>
      </c>
      <c r="C115" s="276"/>
      <c r="D115" s="515">
        <v>930</v>
      </c>
      <c r="E115" s="276"/>
      <c r="F115" s="407"/>
      <c r="G115" s="301"/>
    </row>
    <row r="116" spans="1:7" s="273" customFormat="1" ht="12.75">
      <c r="A116" s="284" t="s">
        <v>507</v>
      </c>
      <c r="B116" s="276"/>
      <c r="C116" s="276"/>
      <c r="D116" s="515">
        <v>23900</v>
      </c>
      <c r="E116" s="276"/>
      <c r="F116" s="407">
        <f>15200+250+6434+1141+600</f>
        <v>23625</v>
      </c>
      <c r="G116" s="301"/>
    </row>
    <row r="117" spans="1:7" s="273" customFormat="1" ht="12.75">
      <c r="A117" s="290" t="s">
        <v>1217</v>
      </c>
      <c r="B117" s="291"/>
      <c r="C117" s="291"/>
      <c r="D117" s="518">
        <v>110</v>
      </c>
      <c r="E117" s="276"/>
      <c r="F117" s="407">
        <v>110</v>
      </c>
      <c r="G117" s="301"/>
    </row>
    <row r="118" spans="1:7" s="273" customFormat="1" ht="12.75">
      <c r="A118" s="290" t="s">
        <v>255</v>
      </c>
      <c r="B118" s="291"/>
      <c r="C118" s="291"/>
      <c r="D118" s="518">
        <v>66</v>
      </c>
      <c r="E118" s="276"/>
      <c r="F118" s="407">
        <v>66</v>
      </c>
      <c r="G118" s="301"/>
    </row>
    <row r="119" spans="1:7" s="273" customFormat="1" ht="12.75">
      <c r="A119" s="290" t="s">
        <v>1218</v>
      </c>
      <c r="B119" s="291"/>
      <c r="C119" s="291"/>
      <c r="D119" s="518">
        <v>291</v>
      </c>
      <c r="E119" s="276"/>
      <c r="F119" s="407">
        <f>118+173</f>
        <v>291</v>
      </c>
      <c r="G119" s="301"/>
    </row>
    <row r="120" spans="1:7" s="273" customFormat="1" ht="12.75">
      <c r="A120" s="290" t="s">
        <v>469</v>
      </c>
      <c r="B120" s="291"/>
      <c r="C120" s="291"/>
      <c r="D120" s="518">
        <v>400</v>
      </c>
      <c r="E120" s="276"/>
      <c r="F120" s="407">
        <v>400</v>
      </c>
      <c r="G120" s="301"/>
    </row>
    <row r="121" spans="1:7" s="273" customFormat="1" ht="12.75">
      <c r="A121" s="290" t="s">
        <v>470</v>
      </c>
      <c r="B121" s="291"/>
      <c r="C121" s="291"/>
      <c r="D121" s="518">
        <v>151</v>
      </c>
      <c r="E121" s="276"/>
      <c r="F121" s="407">
        <v>151</v>
      </c>
      <c r="G121" s="301"/>
    </row>
    <row r="122" spans="1:7" s="273" customFormat="1" ht="12.75">
      <c r="A122" s="290" t="s">
        <v>471</v>
      </c>
      <c r="B122" s="291"/>
      <c r="C122" s="291"/>
      <c r="D122" s="518">
        <v>2124</v>
      </c>
      <c r="E122" s="276"/>
      <c r="F122" s="407">
        <v>2124</v>
      </c>
      <c r="G122" s="301"/>
    </row>
    <row r="123" spans="1:7" s="273" customFormat="1" ht="12.75">
      <c r="A123" s="290" t="s">
        <v>1219</v>
      </c>
      <c r="B123" s="291"/>
      <c r="C123" s="291"/>
      <c r="D123" s="518">
        <v>2203</v>
      </c>
      <c r="E123" s="276"/>
      <c r="F123" s="407">
        <v>2203</v>
      </c>
      <c r="G123" s="301"/>
    </row>
    <row r="124" spans="1:7" s="273" customFormat="1" ht="12.75">
      <c r="A124" s="290" t="s">
        <v>1220</v>
      </c>
      <c r="B124" s="291"/>
      <c r="C124" s="291"/>
      <c r="D124" s="518">
        <v>1987</v>
      </c>
      <c r="E124" s="276"/>
      <c r="F124" s="407">
        <v>1987</v>
      </c>
      <c r="G124" s="301"/>
    </row>
    <row r="125" spans="1:7" s="273" customFormat="1" ht="12.75">
      <c r="A125" s="290" t="s">
        <v>472</v>
      </c>
      <c r="B125" s="291"/>
      <c r="C125" s="291"/>
      <c r="D125" s="518">
        <v>79</v>
      </c>
      <c r="E125" s="276"/>
      <c r="F125" s="407">
        <v>79</v>
      </c>
      <c r="G125" s="301"/>
    </row>
    <row r="126" spans="1:7" s="273" customFormat="1" ht="12.75">
      <c r="A126" s="290" t="s">
        <v>473</v>
      </c>
      <c r="B126" s="291"/>
      <c r="C126" s="291"/>
      <c r="D126" s="518">
        <v>480</v>
      </c>
      <c r="E126" s="276"/>
      <c r="F126" s="407">
        <v>480</v>
      </c>
      <c r="G126" s="301"/>
    </row>
    <row r="127" spans="1:7" s="273" customFormat="1" ht="12.75">
      <c r="A127" s="290"/>
      <c r="B127" s="291"/>
      <c r="C127" s="291"/>
      <c r="D127" s="518"/>
      <c r="E127" s="276"/>
      <c r="F127" s="407"/>
      <c r="G127" s="301"/>
    </row>
    <row r="128" spans="1:7" s="258" customFormat="1" ht="14.25" thickBot="1">
      <c r="A128" s="299" t="s">
        <v>1283</v>
      </c>
      <c r="B128" s="300">
        <v>1090889</v>
      </c>
      <c r="C128" s="300">
        <v>55000</v>
      </c>
      <c r="D128" s="300">
        <f>SUM(D8,D109,D113)</f>
        <v>1825234</v>
      </c>
      <c r="E128" s="300">
        <f>SUM(E8,E109,E113)</f>
        <v>26100</v>
      </c>
      <c r="F128" s="261">
        <f>SUM(F8,F109,F113)</f>
        <v>587111</v>
      </c>
      <c r="G128" s="301"/>
    </row>
    <row r="129" spans="4:7" s="273" customFormat="1" ht="13.5" thickTop="1">
      <c r="D129" s="301"/>
      <c r="E129" s="301"/>
      <c r="G129" s="301"/>
    </row>
    <row r="130" spans="4:7" s="273" customFormat="1" ht="12.75">
      <c r="D130" s="301"/>
      <c r="E130" s="301"/>
      <c r="G130" s="301"/>
    </row>
    <row r="131" spans="4:7" s="273" customFormat="1" ht="12.75">
      <c r="D131" s="301"/>
      <c r="E131" s="301"/>
      <c r="G131" s="301"/>
    </row>
    <row r="132" spans="4:7" s="273" customFormat="1" ht="12.75">
      <c r="D132" s="301"/>
      <c r="E132" s="301"/>
      <c r="G132" s="301"/>
    </row>
    <row r="133" spans="4:7" s="273" customFormat="1" ht="12.75">
      <c r="D133" s="301"/>
      <c r="E133" s="301"/>
      <c r="G133" s="301"/>
    </row>
    <row r="134" spans="4:7" s="273" customFormat="1" ht="12.75">
      <c r="D134" s="301"/>
      <c r="E134" s="301"/>
      <c r="G134" s="301"/>
    </row>
    <row r="135" spans="4:7" s="273" customFormat="1" ht="12.75">
      <c r="D135" s="301"/>
      <c r="E135" s="301"/>
      <c r="G135" s="301"/>
    </row>
    <row r="136" spans="4:7" s="273" customFormat="1" ht="12.75">
      <c r="D136" s="301"/>
      <c r="E136" s="301"/>
      <c r="G136" s="301"/>
    </row>
    <row r="137" spans="4:7" s="273" customFormat="1" ht="12.75">
      <c r="D137" s="301"/>
      <c r="E137" s="301"/>
      <c r="G137" s="301"/>
    </row>
    <row r="138" spans="4:7" s="273" customFormat="1" ht="12.75">
      <c r="D138" s="301"/>
      <c r="E138" s="301"/>
      <c r="G138" s="301"/>
    </row>
    <row r="139" spans="4:7" s="273" customFormat="1" ht="12.75">
      <c r="D139" s="301"/>
      <c r="E139" s="301"/>
      <c r="G139" s="301"/>
    </row>
    <row r="140" spans="4:7" s="273" customFormat="1" ht="12.75">
      <c r="D140" s="301"/>
      <c r="E140" s="301"/>
      <c r="G140" s="301"/>
    </row>
    <row r="141" spans="4:7" s="273" customFormat="1" ht="12.75">
      <c r="D141" s="301"/>
      <c r="E141" s="301"/>
      <c r="G141" s="301"/>
    </row>
    <row r="142" spans="4:7" s="273" customFormat="1" ht="12.75">
      <c r="D142" s="301"/>
      <c r="E142" s="301"/>
      <c r="G142" s="301"/>
    </row>
    <row r="143" spans="4:7" s="273" customFormat="1" ht="12.75">
      <c r="D143" s="301"/>
      <c r="E143" s="301"/>
      <c r="G143" s="301"/>
    </row>
    <row r="144" spans="4:7" s="273" customFormat="1" ht="12.75">
      <c r="D144" s="301"/>
      <c r="E144" s="301"/>
      <c r="G144" s="301"/>
    </row>
    <row r="145" spans="4:7" s="273" customFormat="1" ht="12.75">
      <c r="D145" s="301"/>
      <c r="E145" s="301"/>
      <c r="G145" s="301"/>
    </row>
    <row r="146" spans="4:7" s="273" customFormat="1" ht="12.75">
      <c r="D146" s="301"/>
      <c r="E146" s="301"/>
      <c r="G146" s="301"/>
    </row>
    <row r="147" spans="4:7" s="273" customFormat="1" ht="12.75">
      <c r="D147" s="301"/>
      <c r="E147" s="301"/>
      <c r="G147" s="301"/>
    </row>
    <row r="148" spans="4:7" s="273" customFormat="1" ht="12.75">
      <c r="D148" s="301"/>
      <c r="E148" s="301"/>
      <c r="G148" s="301"/>
    </row>
    <row r="149" spans="4:7" s="273" customFormat="1" ht="12.75">
      <c r="D149" s="301"/>
      <c r="E149" s="301"/>
      <c r="G149" s="301"/>
    </row>
    <row r="150" spans="4:7" s="273" customFormat="1" ht="12.75">
      <c r="D150" s="301"/>
      <c r="E150" s="301"/>
      <c r="G150" s="301"/>
    </row>
    <row r="151" spans="4:7" s="273" customFormat="1" ht="12.75">
      <c r="D151" s="301"/>
      <c r="E151" s="301"/>
      <c r="G151" s="301"/>
    </row>
    <row r="152" spans="4:7" s="273" customFormat="1" ht="12.75">
      <c r="D152" s="301"/>
      <c r="E152" s="301"/>
      <c r="G152" s="301"/>
    </row>
    <row r="153" spans="4:7" s="273" customFormat="1" ht="12.75">
      <c r="D153" s="301"/>
      <c r="E153" s="301"/>
      <c r="G153" s="301"/>
    </row>
    <row r="154" spans="4:7" s="273" customFormat="1" ht="12.75">
      <c r="D154" s="301"/>
      <c r="E154" s="301"/>
      <c r="G154" s="301"/>
    </row>
    <row r="155" spans="4:7" s="273" customFormat="1" ht="12.75">
      <c r="D155" s="301"/>
      <c r="E155" s="301"/>
      <c r="G155" s="301"/>
    </row>
    <row r="156" spans="4:7" s="273" customFormat="1" ht="12.75">
      <c r="D156" s="301"/>
      <c r="E156" s="301"/>
      <c r="G156" s="301"/>
    </row>
    <row r="157" spans="4:7" s="273" customFormat="1" ht="12.75">
      <c r="D157" s="301"/>
      <c r="E157" s="301"/>
      <c r="G157" s="301"/>
    </row>
    <row r="158" spans="4:7" s="273" customFormat="1" ht="12.75">
      <c r="D158" s="301"/>
      <c r="E158" s="301"/>
      <c r="G158" s="301"/>
    </row>
    <row r="159" spans="4:7" s="273" customFormat="1" ht="12.75">
      <c r="D159" s="301"/>
      <c r="E159" s="301"/>
      <c r="G159" s="301"/>
    </row>
    <row r="160" spans="4:7" s="273" customFormat="1" ht="12.75">
      <c r="D160" s="301"/>
      <c r="E160" s="301"/>
      <c r="G160" s="301"/>
    </row>
    <row r="161" spans="4:7" s="273" customFormat="1" ht="12.75">
      <c r="D161" s="301"/>
      <c r="E161" s="301"/>
      <c r="G161" s="301"/>
    </row>
    <row r="162" spans="4:7" s="273" customFormat="1" ht="12.75">
      <c r="D162" s="301"/>
      <c r="E162" s="301"/>
      <c r="G162" s="301"/>
    </row>
    <row r="163" spans="4:7" s="273" customFormat="1" ht="12.75">
      <c r="D163" s="301"/>
      <c r="E163" s="301"/>
      <c r="G163" s="301"/>
    </row>
    <row r="164" spans="4:7" s="273" customFormat="1" ht="12.75">
      <c r="D164" s="301"/>
      <c r="E164" s="301"/>
      <c r="G164" s="301"/>
    </row>
    <row r="165" spans="4:7" s="273" customFormat="1" ht="12.75">
      <c r="D165" s="301"/>
      <c r="E165" s="301"/>
      <c r="G165" s="301"/>
    </row>
    <row r="166" spans="4:7" s="273" customFormat="1" ht="12.75">
      <c r="D166" s="301"/>
      <c r="E166" s="301"/>
      <c r="G166" s="301"/>
    </row>
    <row r="167" spans="4:7" s="273" customFormat="1" ht="12.75">
      <c r="D167" s="301"/>
      <c r="E167" s="301"/>
      <c r="G167" s="301"/>
    </row>
    <row r="168" spans="4:7" s="273" customFormat="1" ht="12.75">
      <c r="D168" s="301"/>
      <c r="E168" s="301"/>
      <c r="G168" s="301"/>
    </row>
    <row r="169" spans="4:7" s="273" customFormat="1" ht="12.75">
      <c r="D169" s="301"/>
      <c r="E169" s="301"/>
      <c r="G169" s="301"/>
    </row>
    <row r="170" spans="4:7" s="273" customFormat="1" ht="12.75">
      <c r="D170" s="301"/>
      <c r="E170" s="301"/>
      <c r="G170" s="301"/>
    </row>
    <row r="171" spans="4:7" s="273" customFormat="1" ht="12.75">
      <c r="D171" s="301"/>
      <c r="E171" s="301"/>
      <c r="G171" s="301"/>
    </row>
    <row r="172" spans="4:7" s="273" customFormat="1" ht="12.75">
      <c r="D172" s="301"/>
      <c r="E172" s="301"/>
      <c r="G172" s="301"/>
    </row>
    <row r="173" spans="4:7" s="273" customFormat="1" ht="12.75">
      <c r="D173" s="301"/>
      <c r="E173" s="301"/>
      <c r="G173" s="301"/>
    </row>
    <row r="174" spans="4:7" s="273" customFormat="1" ht="12.75">
      <c r="D174" s="301"/>
      <c r="E174" s="301"/>
      <c r="G174" s="301"/>
    </row>
    <row r="175" spans="4:7" s="273" customFormat="1" ht="12.75">
      <c r="D175" s="301"/>
      <c r="E175" s="301"/>
      <c r="G175" s="301"/>
    </row>
    <row r="176" spans="4:7" s="273" customFormat="1" ht="12.75">
      <c r="D176" s="301"/>
      <c r="E176" s="301"/>
      <c r="G176" s="301"/>
    </row>
    <row r="177" spans="4:7" s="273" customFormat="1" ht="12.75">
      <c r="D177" s="301"/>
      <c r="E177" s="301"/>
      <c r="G177" s="301"/>
    </row>
    <row r="178" spans="4:7" s="273" customFormat="1" ht="12.75">
      <c r="D178" s="301"/>
      <c r="E178" s="301"/>
      <c r="G178" s="301"/>
    </row>
    <row r="179" spans="4:7" s="273" customFormat="1" ht="12.75">
      <c r="D179" s="301"/>
      <c r="E179" s="301"/>
      <c r="G179" s="301"/>
    </row>
    <row r="180" spans="4:7" s="273" customFormat="1" ht="12.75">
      <c r="D180" s="301"/>
      <c r="E180" s="301"/>
      <c r="G180" s="301"/>
    </row>
    <row r="181" ht="12.75">
      <c r="G181" s="301"/>
    </row>
    <row r="182" ht="12.75">
      <c r="G182" s="301"/>
    </row>
    <row r="183" ht="12.75">
      <c r="G183" s="301"/>
    </row>
    <row r="184" ht="12.75">
      <c r="G184" s="301"/>
    </row>
    <row r="185" ht="12.75">
      <c r="G185" s="301"/>
    </row>
    <row r="186" ht="12.75">
      <c r="G186" s="301"/>
    </row>
    <row r="187" ht="12.75">
      <c r="G187" s="301"/>
    </row>
    <row r="188" ht="12.75">
      <c r="G188" s="301"/>
    </row>
    <row r="189" ht="12.75">
      <c r="G189" s="301"/>
    </row>
    <row r="190" ht="12.75">
      <c r="G190" s="301"/>
    </row>
    <row r="191" ht="12.75">
      <c r="G191" s="301"/>
    </row>
    <row r="192" ht="12.75">
      <c r="G192" s="301"/>
    </row>
    <row r="193" ht="12.75">
      <c r="G193" s="301"/>
    </row>
    <row r="194" ht="12.75">
      <c r="G194" s="301"/>
    </row>
    <row r="195" ht="12.75">
      <c r="G195" s="301"/>
    </row>
    <row r="196" ht="12.75">
      <c r="G196" s="301"/>
    </row>
    <row r="197" ht="12.75">
      <c r="G197" s="301"/>
    </row>
    <row r="198" ht="12.75">
      <c r="G198" s="301"/>
    </row>
    <row r="199" ht="12.75">
      <c r="G199" s="301"/>
    </row>
    <row r="200" ht="12.75">
      <c r="G200" s="301"/>
    </row>
    <row r="201" ht="12.75">
      <c r="G201" s="301"/>
    </row>
    <row r="202" ht="12.75">
      <c r="G202" s="301"/>
    </row>
  </sheetData>
  <mergeCells count="2">
    <mergeCell ref="A3:F3"/>
    <mergeCell ref="A4:F4"/>
  </mergeCells>
  <printOptions horizontalCentered="1"/>
  <pageMargins left="0.25" right="0.15748031496062992" top="0.22" bottom="0.16" header="0.17" footer="0.18"/>
  <pageSetup horizontalDpi="600" verticalDpi="600" orientation="landscape" paperSize="9" scale="68" r:id="rId1"/>
  <rowBreaks count="1" manualBreakCount="1">
    <brk id="6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I41" sqref="I41"/>
    </sheetView>
  </sheetViews>
  <sheetFormatPr defaultColWidth="9.00390625" defaultRowHeight="12.75"/>
  <cols>
    <col min="1" max="1" width="64.25390625" style="0" customWidth="1"/>
    <col min="2" max="3" width="10.75390625" style="0" customWidth="1"/>
    <col min="4" max="5" width="10.75390625" style="250" customWidth="1"/>
    <col min="6" max="7" width="10.75390625" style="0" customWidth="1"/>
  </cols>
  <sheetData>
    <row r="1" spans="1:3" ht="12.75">
      <c r="A1" s="25" t="s">
        <v>953</v>
      </c>
      <c r="B1" s="4"/>
      <c r="C1" s="4"/>
    </row>
    <row r="2" spans="1:3" ht="12.75">
      <c r="A2" s="25"/>
      <c r="B2" s="4"/>
      <c r="C2" s="4"/>
    </row>
    <row r="3" spans="1:6" ht="13.5">
      <c r="A3" s="1178" t="s">
        <v>904</v>
      </c>
      <c r="B3" s="1179"/>
      <c r="C3" s="1179"/>
      <c r="D3" s="1179"/>
      <c r="E3" s="1179"/>
      <c r="F3" s="1179"/>
    </row>
    <row r="4" spans="1:6" ht="13.5">
      <c r="A4" s="1178" t="s">
        <v>958</v>
      </c>
      <c r="B4" s="1179"/>
      <c r="C4" s="1179"/>
      <c r="D4" s="1179"/>
      <c r="E4" s="1179"/>
      <c r="F4" s="1179"/>
    </row>
    <row r="5" spans="1:3" ht="16.5" thickBot="1">
      <c r="A5" s="6"/>
      <c r="B5" s="4"/>
      <c r="C5" s="4"/>
    </row>
    <row r="6" spans="1:7" ht="39" thickTop="1">
      <c r="A6" s="43" t="s">
        <v>1334</v>
      </c>
      <c r="B6" s="219" t="s">
        <v>516</v>
      </c>
      <c r="C6" s="308" t="s">
        <v>1427</v>
      </c>
      <c r="D6" s="309" t="s">
        <v>903</v>
      </c>
      <c r="E6" s="309" t="s">
        <v>1427</v>
      </c>
      <c r="F6" s="940" t="s">
        <v>386</v>
      </c>
      <c r="G6" s="410" t="s">
        <v>1427</v>
      </c>
    </row>
    <row r="7" spans="1:7" ht="12.75" customHeight="1">
      <c r="A7" s="383" t="s">
        <v>61</v>
      </c>
      <c r="B7" s="311"/>
      <c r="C7" s="312"/>
      <c r="D7" s="313"/>
      <c r="E7" s="313"/>
      <c r="F7" s="941">
        <v>15066</v>
      </c>
      <c r="G7" s="944">
        <v>11680</v>
      </c>
    </row>
    <row r="8" spans="1:7" ht="12.75" customHeight="1">
      <c r="A8" s="220" t="s">
        <v>1428</v>
      </c>
      <c r="B8" s="204">
        <v>29000</v>
      </c>
      <c r="C8" s="204">
        <v>26100</v>
      </c>
      <c r="D8" s="204">
        <v>23144</v>
      </c>
      <c r="E8" s="204">
        <v>19568</v>
      </c>
      <c r="F8" s="205">
        <v>8078</v>
      </c>
      <c r="G8" s="944">
        <v>7136</v>
      </c>
    </row>
    <row r="9" spans="1:7" ht="12.75" customHeight="1">
      <c r="A9" s="220" t="s">
        <v>1429</v>
      </c>
      <c r="B9" s="204">
        <v>5000</v>
      </c>
      <c r="C9" s="204">
        <v>4500</v>
      </c>
      <c r="D9" s="204">
        <v>4348</v>
      </c>
      <c r="E9" s="204">
        <v>3139</v>
      </c>
      <c r="F9" s="205">
        <v>4348</v>
      </c>
      <c r="G9" s="944">
        <v>3891</v>
      </c>
    </row>
    <row r="10" spans="1:7" ht="12.75" customHeight="1">
      <c r="A10" s="220" t="s">
        <v>954</v>
      </c>
      <c r="B10" s="204">
        <v>1300</v>
      </c>
      <c r="C10" s="204">
        <v>1170</v>
      </c>
      <c r="D10" s="204">
        <v>1102</v>
      </c>
      <c r="E10" s="204">
        <v>953</v>
      </c>
      <c r="F10" s="205">
        <v>1039</v>
      </c>
      <c r="G10" s="944">
        <v>953</v>
      </c>
    </row>
    <row r="11" spans="1:7" ht="12.75" customHeight="1">
      <c r="A11" s="220" t="s">
        <v>1430</v>
      </c>
      <c r="B11" s="204">
        <v>12000</v>
      </c>
      <c r="C11" s="204">
        <v>10800</v>
      </c>
      <c r="D11" s="204">
        <v>7466</v>
      </c>
      <c r="E11" s="204">
        <v>6266</v>
      </c>
      <c r="F11" s="205">
        <v>7234</v>
      </c>
      <c r="G11" s="944">
        <v>6266</v>
      </c>
    </row>
    <row r="12" spans="1:7" ht="12.75" customHeight="1">
      <c r="A12" s="220" t="s">
        <v>1431</v>
      </c>
      <c r="B12" s="204">
        <v>15000</v>
      </c>
      <c r="C12" s="204"/>
      <c r="D12" s="204">
        <v>10000</v>
      </c>
      <c r="E12" s="204"/>
      <c r="F12" s="205">
        <v>9485</v>
      </c>
      <c r="G12" s="944"/>
    </row>
    <row r="13" spans="1:7" ht="12.75" customHeight="1">
      <c r="A13" s="220" t="s">
        <v>916</v>
      </c>
      <c r="B13" s="204">
        <v>3000</v>
      </c>
      <c r="C13" s="204">
        <v>2700</v>
      </c>
      <c r="D13" s="204">
        <v>4519</v>
      </c>
      <c r="E13" s="204">
        <v>3531</v>
      </c>
      <c r="F13" s="205">
        <v>4519</v>
      </c>
      <c r="G13" s="944">
        <v>3531</v>
      </c>
    </row>
    <row r="14" spans="1:7" ht="12.75" customHeight="1">
      <c r="A14" s="220" t="s">
        <v>1432</v>
      </c>
      <c r="B14" s="204">
        <v>19000</v>
      </c>
      <c r="C14" s="204">
        <v>18000</v>
      </c>
      <c r="D14" s="204">
        <v>17555</v>
      </c>
      <c r="E14" s="204">
        <v>15961</v>
      </c>
      <c r="F14" s="205">
        <v>17555</v>
      </c>
      <c r="G14" s="944">
        <v>15961</v>
      </c>
    </row>
    <row r="15" spans="1:7" ht="12.75" customHeight="1">
      <c r="A15" s="220" t="s">
        <v>1433</v>
      </c>
      <c r="B15" s="204">
        <v>11000</v>
      </c>
      <c r="C15" s="204"/>
      <c r="D15" s="204">
        <v>9323</v>
      </c>
      <c r="E15" s="204"/>
      <c r="F15" s="205">
        <v>7434</v>
      </c>
      <c r="G15" s="944"/>
    </row>
    <row r="16" spans="1:7" ht="12.75" customHeight="1">
      <c r="A16" s="220" t="s">
        <v>740</v>
      </c>
      <c r="B16" s="204">
        <v>15000</v>
      </c>
      <c r="C16" s="204"/>
      <c r="D16" s="204">
        <v>15100</v>
      </c>
      <c r="E16" s="204"/>
      <c r="F16" s="205">
        <v>15010</v>
      </c>
      <c r="G16" s="944"/>
    </row>
    <row r="17" spans="1:7" ht="12.75" customHeight="1">
      <c r="A17" s="220" t="s">
        <v>741</v>
      </c>
      <c r="B17" s="204">
        <v>6000</v>
      </c>
      <c r="C17" s="204"/>
      <c r="D17" s="204">
        <v>5300</v>
      </c>
      <c r="E17" s="204"/>
      <c r="F17" s="205">
        <v>5281</v>
      </c>
      <c r="G17" s="944"/>
    </row>
    <row r="18" spans="1:7" ht="12.75" customHeight="1">
      <c r="A18" s="220" t="s">
        <v>748</v>
      </c>
      <c r="B18" s="204">
        <v>5500</v>
      </c>
      <c r="C18" s="204">
        <v>5500</v>
      </c>
      <c r="D18" s="204">
        <v>6339</v>
      </c>
      <c r="E18" s="204">
        <v>6339</v>
      </c>
      <c r="F18" s="205">
        <v>6339</v>
      </c>
      <c r="G18" s="944">
        <v>6339</v>
      </c>
    </row>
    <row r="19" spans="1:7" ht="12.75" customHeight="1">
      <c r="A19" s="220" t="s">
        <v>749</v>
      </c>
      <c r="B19" s="204">
        <v>6000</v>
      </c>
      <c r="C19" s="204"/>
      <c r="D19" s="204">
        <v>8246</v>
      </c>
      <c r="E19" s="204"/>
      <c r="F19" s="205">
        <v>7486</v>
      </c>
      <c r="G19" s="944"/>
    </row>
    <row r="20" spans="1:7" ht="12.75" customHeight="1">
      <c r="A20" s="220" t="s">
        <v>772</v>
      </c>
      <c r="B20" s="204">
        <v>200</v>
      </c>
      <c r="C20" s="204"/>
      <c r="D20" s="204">
        <v>200</v>
      </c>
      <c r="E20" s="204"/>
      <c r="F20" s="205">
        <v>80</v>
      </c>
      <c r="G20" s="944"/>
    </row>
    <row r="21" spans="1:7" ht="12.75" customHeight="1">
      <c r="A21" s="220" t="s">
        <v>1418</v>
      </c>
      <c r="B21" s="204">
        <v>2000</v>
      </c>
      <c r="C21" s="204"/>
      <c r="D21" s="204">
        <v>917</v>
      </c>
      <c r="E21" s="204">
        <v>917</v>
      </c>
      <c r="F21" s="205">
        <v>917</v>
      </c>
      <c r="G21" s="944">
        <v>917</v>
      </c>
    </row>
    <row r="22" spans="1:7" ht="12.75" customHeight="1">
      <c r="A22" s="220" t="s">
        <v>922</v>
      </c>
      <c r="B22" s="204">
        <v>22500</v>
      </c>
      <c r="C22" s="204"/>
      <c r="D22" s="204">
        <v>23716</v>
      </c>
      <c r="E22" s="204"/>
      <c r="F22" s="205">
        <v>23639</v>
      </c>
      <c r="G22" s="944"/>
    </row>
    <row r="23" spans="1:7" ht="12.75" customHeight="1">
      <c r="A23" s="220" t="s">
        <v>742</v>
      </c>
      <c r="B23" s="204"/>
      <c r="C23" s="204"/>
      <c r="D23" s="204">
        <v>157</v>
      </c>
      <c r="E23" s="204">
        <v>157</v>
      </c>
      <c r="F23" s="205">
        <v>157</v>
      </c>
      <c r="G23" s="944">
        <v>157</v>
      </c>
    </row>
    <row r="24" spans="1:7" ht="12.75" customHeight="1">
      <c r="A24" s="220" t="s">
        <v>743</v>
      </c>
      <c r="B24" s="204"/>
      <c r="C24" s="204"/>
      <c r="D24" s="204">
        <v>3253</v>
      </c>
      <c r="E24" s="204">
        <v>3253</v>
      </c>
      <c r="F24" s="205">
        <v>3253</v>
      </c>
      <c r="G24" s="944">
        <v>3253</v>
      </c>
    </row>
    <row r="25" spans="1:7" s="252" customFormat="1" ht="15" customHeight="1">
      <c r="A25" s="44" t="s">
        <v>750</v>
      </c>
      <c r="B25" s="209">
        <f aca="true" t="shared" si="0" ref="B25:G25">SUM(B7:B24)</f>
        <v>152500</v>
      </c>
      <c r="C25" s="209">
        <f t="shared" si="0"/>
        <v>68770</v>
      </c>
      <c r="D25" s="209">
        <f t="shared" si="0"/>
        <v>140685</v>
      </c>
      <c r="E25" s="209">
        <f t="shared" si="0"/>
        <v>60084</v>
      </c>
      <c r="F25" s="45">
        <f t="shared" si="0"/>
        <v>136920</v>
      </c>
      <c r="G25" s="248">
        <f t="shared" si="0"/>
        <v>60084</v>
      </c>
    </row>
    <row r="26" spans="1:7" ht="15" customHeight="1">
      <c r="A26" s="221"/>
      <c r="B26" s="222"/>
      <c r="C26" s="204"/>
      <c r="D26" s="310"/>
      <c r="E26" s="310"/>
      <c r="F26" s="942"/>
      <c r="G26" s="944"/>
    </row>
    <row r="27" spans="1:7" ht="15" customHeight="1">
      <c r="A27" s="220" t="s">
        <v>27</v>
      </c>
      <c r="B27" s="222"/>
      <c r="C27" s="204"/>
      <c r="D27" s="204">
        <v>205</v>
      </c>
      <c r="E27" s="204"/>
      <c r="F27" s="205">
        <v>206</v>
      </c>
      <c r="G27" s="944"/>
    </row>
    <row r="28" spans="1:7" ht="15" customHeight="1">
      <c r="A28" s="220" t="s">
        <v>930</v>
      </c>
      <c r="B28" s="204">
        <v>500</v>
      </c>
      <c r="C28" s="204"/>
      <c r="D28" s="204">
        <v>500</v>
      </c>
      <c r="E28" s="204"/>
      <c r="F28" s="205"/>
      <c r="G28" s="944"/>
    </row>
    <row r="29" spans="1:7" ht="15" customHeight="1">
      <c r="A29" s="220" t="s">
        <v>955</v>
      </c>
      <c r="B29" s="204">
        <v>2000</v>
      </c>
      <c r="C29" s="204"/>
      <c r="D29" s="204">
        <v>1926</v>
      </c>
      <c r="E29" s="204"/>
      <c r="F29" s="205">
        <v>1926</v>
      </c>
      <c r="G29" s="944"/>
    </row>
    <row r="30" spans="1:7" ht="15" customHeight="1">
      <c r="A30" s="220" t="s">
        <v>956</v>
      </c>
      <c r="B30" s="204">
        <v>4000</v>
      </c>
      <c r="C30" s="204"/>
      <c r="D30" s="204">
        <v>2608</v>
      </c>
      <c r="E30" s="204"/>
      <c r="F30" s="205">
        <v>1163</v>
      </c>
      <c r="G30" s="944"/>
    </row>
    <row r="31" spans="1:7" ht="15" customHeight="1">
      <c r="A31" s="220" t="s">
        <v>747</v>
      </c>
      <c r="B31" s="204"/>
      <c r="C31" s="204"/>
      <c r="D31" s="204">
        <v>3625</v>
      </c>
      <c r="E31" s="204"/>
      <c r="F31" s="205">
        <v>3625</v>
      </c>
      <c r="G31" s="944"/>
    </row>
    <row r="32" spans="1:7" s="252" customFormat="1" ht="15" customHeight="1">
      <c r="A32" s="44" t="s">
        <v>763</v>
      </c>
      <c r="B32" s="209">
        <f aca="true" t="shared" si="1" ref="B32:G32">SUM(B27:B31)</f>
        <v>6500</v>
      </c>
      <c r="C32" s="209">
        <f t="shared" si="1"/>
        <v>0</v>
      </c>
      <c r="D32" s="209">
        <f t="shared" si="1"/>
        <v>8864</v>
      </c>
      <c r="E32" s="209">
        <f t="shared" si="1"/>
        <v>0</v>
      </c>
      <c r="F32" s="45">
        <f t="shared" si="1"/>
        <v>6920</v>
      </c>
      <c r="G32" s="247">
        <f t="shared" si="1"/>
        <v>0</v>
      </c>
    </row>
    <row r="33" spans="1:7" ht="15" customHeight="1">
      <c r="A33" s="220"/>
      <c r="B33" s="204"/>
      <c r="C33" s="204"/>
      <c r="D33" s="204"/>
      <c r="E33" s="204"/>
      <c r="F33" s="205"/>
      <c r="G33" s="944"/>
    </row>
    <row r="34" spans="1:7" s="252" customFormat="1" ht="15" customHeight="1">
      <c r="A34" s="44" t="s">
        <v>764</v>
      </c>
      <c r="B34" s="209">
        <f>SUM(B25,B32)</f>
        <v>159000</v>
      </c>
      <c r="C34" s="209">
        <f>SUM(C25:C32)</f>
        <v>68770</v>
      </c>
      <c r="D34" s="209">
        <f>SUM(D25,D32)</f>
        <v>149549</v>
      </c>
      <c r="E34" s="209">
        <f>SUM(E25,E32)</f>
        <v>60084</v>
      </c>
      <c r="F34" s="45">
        <f>SUM(F25,F32)</f>
        <v>143840</v>
      </c>
      <c r="G34" s="247">
        <f>SUM(G25,G32)</f>
        <v>60084</v>
      </c>
    </row>
    <row r="35" spans="1:7" ht="15" customHeight="1">
      <c r="A35" s="10"/>
      <c r="B35" s="204"/>
      <c r="C35" s="204"/>
      <c r="D35" s="204"/>
      <c r="E35" s="204"/>
      <c r="F35" s="205"/>
      <c r="G35" s="944"/>
    </row>
    <row r="36" spans="1:7" s="252" customFormat="1" ht="15" customHeight="1">
      <c r="A36" s="26" t="s">
        <v>1154</v>
      </c>
      <c r="B36" s="209">
        <f aca="true" t="shared" si="2" ref="B36:G36">SUM(B37:B38)</f>
        <v>7200</v>
      </c>
      <c r="C36" s="209">
        <f t="shared" si="2"/>
        <v>4100</v>
      </c>
      <c r="D36" s="209">
        <f t="shared" si="2"/>
        <v>6930</v>
      </c>
      <c r="E36" s="209">
        <f t="shared" si="2"/>
        <v>3830</v>
      </c>
      <c r="F36" s="45">
        <f t="shared" si="2"/>
        <v>4213</v>
      </c>
      <c r="G36" s="248">
        <f t="shared" si="2"/>
        <v>3830</v>
      </c>
    </row>
    <row r="37" spans="1:7" ht="15" customHeight="1">
      <c r="A37" s="10" t="s">
        <v>765</v>
      </c>
      <c r="B37" s="204">
        <v>4560</v>
      </c>
      <c r="C37" s="204">
        <v>4100</v>
      </c>
      <c r="D37" s="204">
        <v>4290</v>
      </c>
      <c r="E37" s="204">
        <v>3830</v>
      </c>
      <c r="F37" s="205">
        <v>4213</v>
      </c>
      <c r="G37" s="944">
        <v>3830</v>
      </c>
    </row>
    <row r="38" spans="1:7" ht="15" customHeight="1">
      <c r="A38" s="10" t="s">
        <v>766</v>
      </c>
      <c r="B38" s="204">
        <v>2640</v>
      </c>
      <c r="C38" s="204"/>
      <c r="D38" s="204">
        <v>2640</v>
      </c>
      <c r="E38" s="204"/>
      <c r="F38" s="205"/>
      <c r="G38" s="944"/>
    </row>
    <row r="39" spans="1:7" ht="15" customHeight="1">
      <c r="A39" s="10"/>
      <c r="B39" s="204"/>
      <c r="C39" s="204"/>
      <c r="D39" s="204"/>
      <c r="E39" s="204"/>
      <c r="F39" s="205"/>
      <c r="G39" s="944"/>
    </row>
    <row r="40" spans="1:7" s="251" customFormat="1" ht="15" customHeight="1" thickBot="1">
      <c r="A40" s="223" t="s">
        <v>1283</v>
      </c>
      <c r="B40" s="224">
        <f aca="true" t="shared" si="3" ref="B40:G40">SUM(B34,B36)</f>
        <v>166200</v>
      </c>
      <c r="C40" s="224">
        <f t="shared" si="3"/>
        <v>72870</v>
      </c>
      <c r="D40" s="224">
        <f t="shared" si="3"/>
        <v>156479</v>
      </c>
      <c r="E40" s="224">
        <f t="shared" si="3"/>
        <v>63914</v>
      </c>
      <c r="F40" s="943">
        <f t="shared" si="3"/>
        <v>148053</v>
      </c>
      <c r="G40" s="315">
        <f t="shared" si="3"/>
        <v>63914</v>
      </c>
    </row>
    <row r="41" spans="1:3" ht="13.5" thickTop="1">
      <c r="A41" s="4"/>
      <c r="B41" s="4"/>
      <c r="C41" s="4"/>
    </row>
  </sheetData>
  <mergeCells count="2">
    <mergeCell ref="A3:F3"/>
    <mergeCell ref="A4:F4"/>
  </mergeCells>
  <printOptions horizontalCentered="1"/>
  <pageMargins left="0.7874015748031497" right="0.7874015748031497" top="0.2755905511811024" bottom="0.31496062992125984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Polg.Hiv.Tata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moni</cp:lastModifiedBy>
  <cp:lastPrinted>2010-04-15T13:05:56Z</cp:lastPrinted>
  <dcterms:created xsi:type="dcterms:W3CDTF">2003-02-14T08:59:10Z</dcterms:created>
  <dcterms:modified xsi:type="dcterms:W3CDTF">2010-04-29T11:30:38Z</dcterms:modified>
  <cp:category/>
  <cp:version/>
  <cp:contentType/>
  <cp:contentStatus/>
</cp:coreProperties>
</file>