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3" activeTab="7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melléklet" sheetId="15" r:id="rId15"/>
  </sheets>
  <definedNames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<sst xmlns="http://schemas.openxmlformats.org/spreadsheetml/2006/main" count="1244" uniqueCount="702">
  <si>
    <t>Házi segítségnyújtás</t>
  </si>
  <si>
    <t>Közfoglalkoztatottak éves létszám-erőirányzata</t>
  </si>
  <si>
    <t>Közcélú foglalkoztatottak</t>
  </si>
  <si>
    <t>Közhasznú foglalkoztatottak</t>
  </si>
  <si>
    <t>Átlag létszám (fő)</t>
  </si>
  <si>
    <t xml:space="preserve"> - Tatai Városkapu Zrt.-nek Tourinform Iroda támogatása</t>
  </si>
  <si>
    <t xml:space="preserve"> - Tanulmányi ösztöndíjra (Mecénás Közalapítvány, Bursa Hungarika)</t>
  </si>
  <si>
    <t xml:space="preserve"> - Juniorka Bölcsöde alapítványi támogatása</t>
  </si>
  <si>
    <t xml:space="preserve"> - Szociális, gyermekjóléti és egészségvédelmi pályázatokra</t>
  </si>
  <si>
    <t xml:space="preserve"> - Háziorvosok szerződés szerinti támogatása (21 praxis 250 E Ft/év/parxis + 300 E Ft 5. sz. felnőtt háziorvosi körzet)</t>
  </si>
  <si>
    <t xml:space="preserve"> - Tatai TV Közalapítvány támogatása</t>
  </si>
  <si>
    <t xml:space="preserve"> - Víz Zene Virág Fesztivál Egyesület támogatása</t>
  </si>
  <si>
    <t xml:space="preserve"> - Kenderke Néptánc Egyesület támogatása</t>
  </si>
  <si>
    <t xml:space="preserve"> - Barokk Fesztivál </t>
  </si>
  <si>
    <t xml:space="preserve"> - Oktatási és ifjúsági pályázatokra</t>
  </si>
  <si>
    <t xml:space="preserve"> - Tatai Városkapu Zrt-nek közművelődési feladatok ellátására (közhasznú, közművelődési megállapodás alapján)</t>
  </si>
  <si>
    <t xml:space="preserve"> - Pötörke Népművészeti Egyesület támogatása</t>
  </si>
  <si>
    <t xml:space="preserve"> - Szorgalmas Diák ösztöndíj támogatás</t>
  </si>
  <si>
    <t xml:space="preserve"> - köztisztviselők, ügyintézők</t>
  </si>
  <si>
    <t>Polgármesteri Hivatal:</t>
  </si>
  <si>
    <t>Tata Város Önkormányzatának 2010. évi bevételei forrásonként ( E Ft-ban)</t>
  </si>
  <si>
    <t xml:space="preserve"> - bérleti díj</t>
  </si>
  <si>
    <t xml:space="preserve"> - Vízhálózat felújítás (ÉDV Zrt.)</t>
  </si>
  <si>
    <t>Egyes jöv. pótló tám. kieg. 116.225 E Ft, közcélú támog. 74.000 E Ft</t>
  </si>
  <si>
    <t xml:space="preserve"> Tata Város Önkormányzatának 2010.évi pénzforgalmi mérlege (E Ft-ban)</t>
  </si>
  <si>
    <t>2010. évi működési célú bevételek és kiadások mérlege (E Ft-ban)</t>
  </si>
  <si>
    <t>2010. évi fejlesztési célú bevételek és kiadások mérlege (E Ft-ban)</t>
  </si>
  <si>
    <t xml:space="preserve">Tata Város Önkormányzatának 2010. évi költségvetési kiadásai </t>
  </si>
  <si>
    <t>2010. év</t>
  </si>
  <si>
    <t>Ebből: - Lakáscélra (szociális 7.000 E Ft, munkáltatói 1.500 E Ft)</t>
  </si>
  <si>
    <t xml:space="preserve">Készfizető kezesség - Tata-Tóparti Viziközmű Társ., Tatai Távhő Kft., Tatai Városkapu Zrt. </t>
  </si>
  <si>
    <t>Támogatási célú működési bevétel</t>
  </si>
  <si>
    <t>Készfizető kezesség - Városkapu Zrt-nek</t>
  </si>
  <si>
    <t>Felhalmozási célú bérbeadás</t>
  </si>
  <si>
    <t xml:space="preserve"> - Lőtér kerítés építés</t>
  </si>
  <si>
    <t xml:space="preserve"> - Bacsó B. u. HM ingatlanokba ivóvíz és áram mérők felszerelése</t>
  </si>
  <si>
    <t xml:space="preserve"> - Fazekas Iskola átalakítás</t>
  </si>
  <si>
    <t xml:space="preserve"> - Beruházásokkal kapcsolatos közbeszerzések</t>
  </si>
  <si>
    <t xml:space="preserve"> - Rügy u. árokburkolat készítés</t>
  </si>
  <si>
    <t xml:space="preserve"> - Új u. árokkotrás, átereszek átépítése</t>
  </si>
  <si>
    <t xml:space="preserve"> - Nagy L. u. - Tavasz u. csapadékvíz elvezetése</t>
  </si>
  <si>
    <t xml:space="preserve"> - Kakas u. felső szakasz vízgyűjtő</t>
  </si>
  <si>
    <t xml:space="preserve"> - Kos réti vízfolyás geodézia</t>
  </si>
  <si>
    <t xml:space="preserve"> - Csever árok geodézia, gépi kotrás</t>
  </si>
  <si>
    <t xml:space="preserve"> - Kakas u.-i árokrendezés</t>
  </si>
  <si>
    <t xml:space="preserve"> - Naszály u.-i árokkotrás</t>
  </si>
  <si>
    <t xml:space="preserve"> - Agostyán, Kossuth u. 2.-48. vízelvezetés</t>
  </si>
  <si>
    <t xml:space="preserve"> - Rákóczi u. kandelláber csere</t>
  </si>
  <si>
    <t xml:space="preserve"> - Új u.-i árok- és vízgyűjtő ter. Vizsgálat</t>
  </si>
  <si>
    <t xml:space="preserve"> - Új u.-i komposzttelep</t>
  </si>
  <si>
    <t xml:space="preserve"> - Közterület felügyelet számítástechnikai eszköz beszerzés</t>
  </si>
  <si>
    <t xml:space="preserve"> - 1510. évi tatai országgyűlés 500. évfordulójára emlékmű állítása</t>
  </si>
  <si>
    <t xml:space="preserve"> - Számítástechnikai eszköz (hardver, szoftver) beszerzés</t>
  </si>
  <si>
    <t xml:space="preserve"> - Új hiteles digitális alaptérkép</t>
  </si>
  <si>
    <t xml:space="preserve"> - Pályázatok előkészítésére</t>
  </si>
  <si>
    <t>2010. évi felújítási kiadások célonként (ÁFA-val)</t>
  </si>
  <si>
    <t>2010. évi igények:</t>
  </si>
  <si>
    <t>2010. évi igények kötvényből:</t>
  </si>
  <si>
    <t xml:space="preserve"> - Május 1.u. 5-17.direktág kialakítás</t>
  </si>
  <si>
    <t xml:space="preserve"> - Bartók B. u.-i.Óvoda bővítése 43/2009./II.25./sz.határozat</t>
  </si>
  <si>
    <t xml:space="preserve"> - Intézmények energiaracionalizálása 183/2008./VI.25./sz.határozat</t>
  </si>
  <si>
    <t xml:space="preserve"> - Angol park rehabilitációja 263/2009./VII.2./sz.határozat </t>
  </si>
  <si>
    <t xml:space="preserve"> - Kocsi u.-Dózsa Gy.u.kerékpárút 225/2009./VI.24./sz.határozat</t>
  </si>
  <si>
    <t xml:space="preserve"> - Fáklya u.-Diófa u. korszerűsítése 280/2009./IX.sz.határozat</t>
  </si>
  <si>
    <t xml:space="preserve"> - József A. u.vízrendezése 372/2009.X.28./sz.határozat</t>
  </si>
  <si>
    <t xml:space="preserve"> - Kossuth tér rehabilitációja 399/2009./XI.13./sz.határozat</t>
  </si>
  <si>
    <t xml:space="preserve"> - Kajakház,Öreg-tavi kerékpárút 283/2009/IX.9./sz.határozat</t>
  </si>
  <si>
    <t xml:space="preserve"> - Új u.-Bölcsőde férőhely fejlesztés 261/2009/VII.2./sz.határozat</t>
  </si>
  <si>
    <t xml:space="preserve"> - Gyalogátkelő létesítés (Somogyi B.u.-Bacsó B.u.)</t>
  </si>
  <si>
    <t xml:space="preserve"> - Jázmin u.22-24.ingatlanok megvásárlása 472/2009./X.16./sz.határozat (további 20.000 E Ft 2011-ben esedékes)</t>
  </si>
  <si>
    <t xml:space="preserve"> - Gondoskodó kistérség ,szociális alapellátások minőségi fejlesztése projekt</t>
  </si>
  <si>
    <t xml:space="preserve"> - 460/89.,460/111 hrsz.-ú ingatlanokból terület vásárlás 369/2009/X.28./sz. határozat</t>
  </si>
  <si>
    <t xml:space="preserve"> - Piarista rendház átalakítás 298/2009.(IX.30.) sz. határozat</t>
  </si>
  <si>
    <t xml:space="preserve"> - Turisztikai szakvélemény 354/2009.(IX.30.) sz. határozat</t>
  </si>
  <si>
    <t xml:space="preserve"> - Rendezvényház megvalósíthatósági tanulmány 355/2009.(IX.30.) sz. határozat</t>
  </si>
  <si>
    <t xml:space="preserve"> - Fényes Fürdő környezet terhelhetőségi tamulmány 470/2009.(XII.16.) sz. határozat</t>
  </si>
  <si>
    <t>Polgármesteri Hivatal 2010. évi költségvetési terve (szakfeladatok és kiemelt előirányzatok szerinti bontásban) ( E Ft-ban)</t>
  </si>
  <si>
    <t xml:space="preserve"> - Bartók B. u. felújítása 378/2009./X.28./ sz. határozat</t>
  </si>
  <si>
    <t xml:space="preserve"> - Magyary Zoltán Művelődési ház felújítása 376/2009./X.28./ sz. határozat </t>
  </si>
  <si>
    <t xml:space="preserve"> - Talentum Iskola szennyvízvezeték felújítás</t>
  </si>
  <si>
    <t xml:space="preserve"> - Polgármesteri Hivatal akadálymentesítése KDOP-2009-5.3.2 pályázat 343/2009./IX.30./ sz. határozat</t>
  </si>
  <si>
    <t xml:space="preserve"> - Rákóczi u. felújítása TEUT támogatással</t>
  </si>
  <si>
    <t xml:space="preserve"> - Keszthelyi u. 12. és Gesztenyefasor 47. felújítás befejezésével kapcsolatos költségek</t>
  </si>
  <si>
    <t xml:space="preserve"> - Tervezések útburkolat felújításhoz</t>
  </si>
  <si>
    <t xml:space="preserve"> - Lányi Villa előtti lépcső felújítása</t>
  </si>
  <si>
    <t>Önkormányzati saját hatáskörben adott természetbeni ellátás</t>
  </si>
  <si>
    <t>Mindösszesen</t>
  </si>
  <si>
    <t>Működési célra átvett pénzeszköz</t>
  </si>
  <si>
    <t>Egyéb tárgyi eszköz értékesítés</t>
  </si>
  <si>
    <t>Kőkúti Általános Iskola</t>
  </si>
  <si>
    <t>Menner B. Zeneiskola</t>
  </si>
  <si>
    <t>Kötvénykibocsátásból rendelkezésre álló fejlesztési forrás felhasználás (E Ft-ban)</t>
  </si>
  <si>
    <t>Beruházási feladatok összesen:</t>
  </si>
  <si>
    <t>Felújítási feladatok összesen:</t>
  </si>
  <si>
    <t>Dologi kiadások és egyéb folyó kiadás (kamat nélkül)</t>
  </si>
  <si>
    <t xml:space="preserve">Intézmények Gazdasági Hivatala </t>
  </si>
  <si>
    <t>Rendelkezésre állási támogatás</t>
  </si>
  <si>
    <t>Felhalmozási célú pénzeszközátadások és támogatások:</t>
  </si>
  <si>
    <t>Működési célú pénzeszközátadások és támogatások a Polgármesteri Hivatalnál:</t>
  </si>
  <si>
    <t>támogatásértékű bevételei és államháztartáson kívülről átvett pénzeszközeinek</t>
  </si>
  <si>
    <t xml:space="preserve">E Ft-ban </t>
  </si>
  <si>
    <t xml:space="preserve"> - lakbér</t>
  </si>
  <si>
    <t xml:space="preserve"> - támogatás értékű működési bevételek</t>
  </si>
  <si>
    <t xml:space="preserve"> - támogatás értékű felhalmozási bevételek</t>
  </si>
  <si>
    <t>Adósságkezelési szolgáltatással kapcsolatos támogatás</t>
  </si>
  <si>
    <t xml:space="preserve"> - Kulturális pályázatokra</t>
  </si>
  <si>
    <t xml:space="preserve"> - Művészeti Iskola támogatása - Református Egyház, Kenderke</t>
  </si>
  <si>
    <t xml:space="preserve"> - Concerto Kht. támogatása</t>
  </si>
  <si>
    <t>Közlekedési támogatás tanulóknak</t>
  </si>
  <si>
    <t>Kölcsön visszatérülés(lakástám.,szoc+munkált., Távhő, egyéb)</t>
  </si>
  <si>
    <t xml:space="preserve"> - TIT KEM Egyesület támogatása</t>
  </si>
  <si>
    <t>Házi segítségnyújtás előtti szakértői vizsgálatra</t>
  </si>
  <si>
    <t xml:space="preserve"> - működési célra átvett pénzeszköz</t>
  </si>
  <si>
    <t xml:space="preserve"> -- Késedelmi pótlék</t>
  </si>
  <si>
    <t xml:space="preserve"> - Intézményi saját bevétel </t>
  </si>
  <si>
    <t>Erdeti</t>
  </si>
  <si>
    <t xml:space="preserve"> - központosított támogatás - kisebbségi önkormányzatoknak</t>
  </si>
  <si>
    <t>E Ft-ban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</si>
  <si>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</si>
  <si>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</si>
  <si>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</si>
  <si>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</si>
  <si>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</si>
  <si>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</si>
  <si>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</si>
  <si>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</si>
  <si>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normatív állami hozzájárulás</t>
  </si>
  <si>
    <t>Bevételek Mindösszesen:</t>
  </si>
  <si>
    <t>Felhalm. és tőkejellegű bevétel össz.</t>
  </si>
  <si>
    <t>Bevételek</t>
  </si>
  <si>
    <t xml:space="preserve">8.sz. melléklet </t>
  </si>
  <si>
    <t>Időskorúak járadéka</t>
  </si>
  <si>
    <t>Köztemetés</t>
  </si>
  <si>
    <t>Közgyógyellátás</t>
  </si>
  <si>
    <t>9. sz. melléklet</t>
  </si>
  <si>
    <t>(E Ft-ban)</t>
  </si>
  <si>
    <t xml:space="preserve"> - egyéb ingatlan értékesítés</t>
  </si>
  <si>
    <t xml:space="preserve"> - Juniorka Óvoda alapítványi támogatása</t>
  </si>
  <si>
    <t xml:space="preserve"> - Színes Iskola támogatása</t>
  </si>
  <si>
    <t xml:space="preserve"> - Vöröskereszt tatai szervezetének támogatása</t>
  </si>
  <si>
    <t xml:space="preserve"> - Polgárőr Egyesület támogatása</t>
  </si>
  <si>
    <t xml:space="preserve"> - Talajterhelési díj</t>
  </si>
  <si>
    <t>Önk. Sajátos működ. bev. összesen</t>
  </si>
  <si>
    <t>Önk.költségvetési támogatás össz.</t>
  </si>
  <si>
    <t>2. sz. melléklet</t>
  </si>
  <si>
    <t>6. sz. melléklet</t>
  </si>
  <si>
    <t>7. sz. melléklet</t>
  </si>
  <si>
    <t xml:space="preserve"> - Máltai Szeretetszolgálat támogatása</t>
  </si>
  <si>
    <t>Önkormányzati költségvetési szervek engedélyezett álláshelyeinek száma</t>
  </si>
  <si>
    <t xml:space="preserve"> - működési céltartalék</t>
  </si>
  <si>
    <t>Finanszírozási kiadások összesen:</t>
  </si>
  <si>
    <t>Bevételek összesen:</t>
  </si>
  <si>
    <t>Tata Város Önkormányzata által folyósított 2010. évi ellátások alakulásának részletezése</t>
  </si>
  <si>
    <t>Lehívható központi támogatás</t>
  </si>
  <si>
    <t>Gyermektartásdíj megelőlegezése</t>
  </si>
  <si>
    <t>Fazekas u. Tagintézmény</t>
  </si>
  <si>
    <t>Egyes jöv.pótló támog. Kiegészítése, közcélú foglal.</t>
  </si>
  <si>
    <t>Központosított támogatás TEUT pályázat</t>
  </si>
  <si>
    <t xml:space="preserve">Céltartalék </t>
  </si>
  <si>
    <t xml:space="preserve">         -Talajterhelési díj</t>
  </si>
  <si>
    <t>általános tartalék</t>
  </si>
  <si>
    <t>céltartalékok:</t>
  </si>
  <si>
    <t>Céltartalékok:</t>
  </si>
  <si>
    <t xml:space="preserve"> - lakossági</t>
  </si>
  <si>
    <t xml:space="preserve"> - munkáltatói</t>
  </si>
  <si>
    <t xml:space="preserve">4.sz. melléklet                 </t>
  </si>
  <si>
    <t>E. Ft-ban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</si>
  <si>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</si>
  <si>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</si>
  <si>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</si>
  <si>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</si>
  <si>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</si>
  <si>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Bevétel</t>
  </si>
  <si>
    <t>Egyéb ingatlan értékesítés</t>
  </si>
  <si>
    <t>Egyéb ingatlanértékesítés</t>
  </si>
  <si>
    <t>Beruházási célra átvett pénzeszköz</t>
  </si>
  <si>
    <t>Felújítás ( ÁFA-val )</t>
  </si>
  <si>
    <t>( kiemelt előirányzatok szerinti részletezésben ) E Ft-ban</t>
  </si>
  <si>
    <t>Szivárvány Óvoda</t>
  </si>
  <si>
    <t>Piros Óvoda</t>
  </si>
  <si>
    <t>Új úti Bölcsőde</t>
  </si>
  <si>
    <t>Kölcsönnyújtás összesen</t>
  </si>
  <si>
    <t>Kölcsönnyújtás ( lakás támog. szoc + munk.)</t>
  </si>
  <si>
    <t>TEUT támogatás</t>
  </si>
  <si>
    <t>Kiadások mindösszesen:</t>
  </si>
  <si>
    <t>Bevételek mindösszesen:</t>
  </si>
  <si>
    <t>Finanszírozási bevételek: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</si>
  <si>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</si>
  <si>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</si>
  <si>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</si>
  <si>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</si>
  <si>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 xml:space="preserve"> - felhalmozási céltartalék - egyéb feladatokra</t>
  </si>
  <si>
    <t xml:space="preserve"> - fejl.célú tartalék egyéb feladatokra</t>
  </si>
  <si>
    <t>Felhalmozási céltartalék - egyéb feladatokra</t>
  </si>
  <si>
    <t>Pénzügyi befektetés (kötvényből) kamata</t>
  </si>
  <si>
    <t>Hiteltörlesztés fejl.célú</t>
  </si>
  <si>
    <t>Pénzeszköz átadás, támogatás:</t>
  </si>
  <si>
    <t>Eü működésre TB. Támogatás</t>
  </si>
  <si>
    <t>Működési célra támogatások</t>
  </si>
  <si>
    <t>Felhalmozási célra támogatások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</si>
  <si>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</si>
  <si>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</si>
  <si>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</si>
  <si>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</si>
  <si>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Árpád-házi Szent Erzsébet Szakkórház és Rendelőintézet</t>
  </si>
  <si>
    <t>Felhalmozási kiadások</t>
  </si>
  <si>
    <t>Eredeti</t>
  </si>
  <si>
    <t xml:space="preserve">Eredeti </t>
  </si>
  <si>
    <t>ÁFA bevétel</t>
  </si>
  <si>
    <t>Dologi kiadás (beruházási hitelkamat és ÁFA nélkül)</t>
  </si>
  <si>
    <t>Kötvény kamata</t>
  </si>
  <si>
    <t xml:space="preserve">         -Egyéb sajátos bevételek (bérleti díj, lakbér, bírság)</t>
  </si>
  <si>
    <t>1. sz. melléklet</t>
  </si>
  <si>
    <t xml:space="preserve"> - működési célú tartalék</t>
  </si>
  <si>
    <t>Működési céltartalék</t>
  </si>
  <si>
    <t>Központosított tám. - kisebbségi önkormányzatoknak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</si>
  <si>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</si>
  <si>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</si>
  <si>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</si>
  <si>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</si>
  <si>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</si>
  <si>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</si>
  <si>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</si>
  <si>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</si>
  <si>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</si>
  <si>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</si>
  <si>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</si>
  <si>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</si>
  <si>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</si>
  <si>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</si>
  <si>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</si>
  <si>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</si>
  <si>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</si>
  <si>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</si>
  <si>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</si>
  <si>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</si>
  <si>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</si>
  <si>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</si>
  <si>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</si>
  <si>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</si>
  <si>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</si>
  <si>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</si>
  <si>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</si>
  <si>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</si>
  <si>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</si>
  <si>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</si>
  <si>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</si>
  <si>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</si>
  <si>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</si>
  <si>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</si>
  <si>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</si>
  <si>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</si>
  <si>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</si>
  <si>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</si>
  <si>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</si>
  <si>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</si>
  <si>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</si>
  <si>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</si>
  <si>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</si>
  <si>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</si>
  <si>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</si>
  <si>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</si>
  <si>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</si>
  <si>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</si>
  <si>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</si>
  <si>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</si>
  <si>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</si>
  <si>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</si>
  <si>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</si>
  <si>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</si>
  <si>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</si>
  <si>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</si>
  <si>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</si>
  <si>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</si>
  <si>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</si>
  <si>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</si>
  <si>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</si>
  <si>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</si>
  <si>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Lakások értékesítése</t>
  </si>
  <si>
    <t>Általános tartalék</t>
  </si>
  <si>
    <t>Járulék</t>
  </si>
  <si>
    <t>Dologi kiadás</t>
  </si>
  <si>
    <t>Pénzeszköz átadás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</si>
  <si>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</si>
  <si>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</si>
  <si>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</si>
  <si>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</si>
  <si>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</si>
  <si>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</si>
  <si>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</si>
  <si>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</si>
  <si>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</si>
  <si>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</si>
  <si>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</si>
  <si>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</si>
  <si>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</si>
  <si>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</si>
  <si>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</si>
  <si>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</si>
  <si>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</si>
  <si>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</si>
  <si>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</si>
  <si>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</si>
  <si>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 xml:space="preserve"> - választott tisztségviselő</t>
  </si>
  <si>
    <t xml:space="preserve"> - Közterület-felügyelet (önállóan működő)</t>
  </si>
  <si>
    <t>Szociális Alapellátó Intézmény (számszaki javítás)</t>
  </si>
  <si>
    <t>Vaszary János Általános Iskola - Tardos tagintézmény</t>
  </si>
  <si>
    <t>Felhalmozási célú pénzeszközátadás összesen:</t>
  </si>
  <si>
    <t xml:space="preserve">Ápolási díj járulék 24 % </t>
  </si>
  <si>
    <t>Áthúzódó kötelezettségvállalással terhelt feladatok kötvényből:</t>
  </si>
  <si>
    <t xml:space="preserve"> - Intézmények energiaracionalizálása</t>
  </si>
  <si>
    <t xml:space="preserve"> - üzemeltetés, bérbeadás felhalm. bevétel</t>
  </si>
  <si>
    <t xml:space="preserve">Áthúzódó kötelezettségvállalással terhelt feladatok: 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</si>
  <si>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</si>
  <si>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</si>
  <si>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</si>
  <si>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</si>
  <si>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</si>
  <si>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Egyéb beszed. Szla (pénzbírság, helyszíni bírság)</t>
  </si>
  <si>
    <t>Mozgáskorlátozottak közlekedési támogatása</t>
  </si>
  <si>
    <t xml:space="preserve"> - helyi adók és egyéb bevételek</t>
  </si>
  <si>
    <t xml:space="preserve">Tata Város Polgármesteri Hivatal </t>
  </si>
  <si>
    <t>Támogatás értékű működési bevételek</t>
  </si>
  <si>
    <t>Támogatás értékű felhalmozási célú bevételek</t>
  </si>
  <si>
    <t>Felhalmozási célra átvett pénzeszköz államháztartáson kívülről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</si>
  <si>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</si>
  <si>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</si>
  <si>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</si>
  <si>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</si>
  <si>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</si>
  <si>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</si>
  <si>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>Átmeneti segély</t>
  </si>
  <si>
    <t>Temetési segély</t>
  </si>
  <si>
    <t>Otthonteremtési támogatás</t>
  </si>
  <si>
    <t xml:space="preserve">   - - kötvényhozam, kamat</t>
  </si>
  <si>
    <t>Természetben nyújtott átmeneti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</si>
  <si>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</si>
  <si>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</si>
  <si>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</si>
  <si>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</si>
  <si>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</si>
  <si>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</si>
  <si>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</si>
  <si>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 xml:space="preserve"> - Sporttámogatás - THAC</t>
  </si>
  <si>
    <t>Önk.által foly. ellátás</t>
  </si>
  <si>
    <t>Hiteltörl. Kölcsön</t>
  </si>
  <si>
    <t xml:space="preserve"> - TEUT támogatás (Rákóczi u.)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</si>
  <si>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</si>
  <si>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</si>
  <si>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</si>
  <si>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</si>
  <si>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 xml:space="preserve"> - lakásértékesítés (részletek törlesztése)</t>
  </si>
  <si>
    <t xml:space="preserve"> - felhalmozási célra átvett pénzeszköz</t>
  </si>
  <si>
    <t xml:space="preserve"> - támogatás egészségügyi műk. célra Tb.</t>
  </si>
  <si>
    <t>Támogatás értékű bevétel összesen:</t>
  </si>
  <si>
    <t>Tatai fiatalok életkezdési támogatásához</t>
  </si>
  <si>
    <t>10. sz. melléklet</t>
  </si>
  <si>
    <t>11. sz. melléklet</t>
  </si>
  <si>
    <t>Tájékoztatás céljából</t>
  </si>
  <si>
    <t>Kötvénykibocsátásból bevétel:</t>
  </si>
  <si>
    <t>Készfizető kezesség: Tata Tóparti Víziközmű, Távhő Kft.</t>
  </si>
  <si>
    <t>Kötvényforrás tartaléka:</t>
  </si>
  <si>
    <t>Készfizető kezesség</t>
  </si>
  <si>
    <t>Kölcsön nyújtása lakáscélra:</t>
  </si>
  <si>
    <t xml:space="preserve"> - Önkormányzati bérlakások felújítása</t>
  </si>
  <si>
    <t xml:space="preserve"> - Rákóczi u. 9. homlokzat felújítás</t>
  </si>
  <si>
    <t xml:space="preserve"> - Kültérre kihelyezett eszközök felújítása</t>
  </si>
  <si>
    <t xml:space="preserve"> - Polgármesteri Hivatal felújítása</t>
  </si>
  <si>
    <t xml:space="preserve"> - Május 1. u. 5-17. direktág kialakítás</t>
  </si>
  <si>
    <t xml:space="preserve"> - Bartók B. u.-i Óvoda bővítése 43/2009./II.25./ sz. határozat</t>
  </si>
  <si>
    <t xml:space="preserve"> - Intézmények energiaracionalizálása 183/2008./VI.25./ sz. határozat</t>
  </si>
  <si>
    <t xml:space="preserve"> - Angol park rehabilitációja 263/2009./VII.2./ sz. határozat</t>
  </si>
  <si>
    <t xml:space="preserve"> - Kocsi u. - Dózsa Gy. u. kerékpárút 225/2009./VI.24./ sz. határozat</t>
  </si>
  <si>
    <t xml:space="preserve"> - Fáklya u. - Diófa u. korszerűsítése 280/2009./IX.9./ sz. határozat</t>
  </si>
  <si>
    <t xml:space="preserve"> - József A. u. vízrendezése 372/2009./X.28./ sz. határozat</t>
  </si>
  <si>
    <t xml:space="preserve"> - Kossuth tér rehabilitációja 399/2009./XI.13./ sz. határozat</t>
  </si>
  <si>
    <t xml:space="preserve"> - Kajakház, Öreg-tavi kerékpárút 283/2009/IX.9./ sz. határozat</t>
  </si>
  <si>
    <t xml:space="preserve"> - Új u.- Bölcsöde férőhely fejlesztés 261/2009/VII.2./ sz. határozat</t>
  </si>
  <si>
    <t xml:space="preserve"> - Piarista rendház átalakítás</t>
  </si>
  <si>
    <t xml:space="preserve"> - Turisztikai szakvélemény</t>
  </si>
  <si>
    <t xml:space="preserve"> - Rendezvényház megvalósíthatóségi tanulmány</t>
  </si>
  <si>
    <t xml:space="preserve"> - 460/89, 460/111 hrsz.-ú ingatlanokból terület vásárlás 369/2009./X.28./ sz. határozat</t>
  </si>
  <si>
    <t xml:space="preserve"> - Fényes-fürdő környezet terhelhetőségi tanulmány</t>
  </si>
  <si>
    <t xml:space="preserve"> - Gyalogátkelő létesítés (Somogyi B. u. - Bacsó B. u.)</t>
  </si>
  <si>
    <t xml:space="preserve"> - Parkolóhely létesítés (Fazekas u.)</t>
  </si>
  <si>
    <t xml:space="preserve"> - Szélkút u. 3. kamra építés</t>
  </si>
  <si>
    <t xml:space="preserve"> - Bárány u. garázs bontás</t>
  </si>
  <si>
    <t xml:space="preserve"> - ÁROP pályázat, Polgármesteri Hivatal szervezetfejlesztése 165/2008/V.28./ sz. határozat</t>
  </si>
  <si>
    <t xml:space="preserve"> - Beruházásokhoz kapcsolódó közbeszerzések</t>
  </si>
  <si>
    <t xml:space="preserve"> - Tópart sétány közvilágítás tervezés</t>
  </si>
  <si>
    <t xml:space="preserve"> - Árendás patak mederrendezés</t>
  </si>
  <si>
    <t>2010. évi beruházási kiadások feladatonként (ÁFA-val)</t>
  </si>
  <si>
    <t xml:space="preserve"> 2010. évi igények:</t>
  </si>
  <si>
    <t xml:space="preserve"> - Szivárvány Óvoda tetőfelújítása</t>
  </si>
  <si>
    <t xml:space="preserve"> - Fürdő u.-i Óvoda villámhárító, kémények átrakása</t>
  </si>
  <si>
    <t xml:space="preserve"> - Vaszary Általános Iskola tornaterem tető, villámhárító</t>
  </si>
  <si>
    <t xml:space="preserve"> - Kőkúti Általános Iskola vizesblokk</t>
  </si>
  <si>
    <t>Támogató szolgálat</t>
  </si>
  <si>
    <t>Közösségi ellátás</t>
  </si>
  <si>
    <t xml:space="preserve"> - "Partnerségek a prevencióért"</t>
  </si>
  <si>
    <t xml:space="preserve"> - Bejezett Viziközmű társulatok és Tata Tóparti Viziközmű Társulat</t>
  </si>
  <si>
    <t xml:space="preserve"> - "Hídépítés" EGTC </t>
  </si>
  <si>
    <t xml:space="preserve"> - Munkaügyi Központtól </t>
  </si>
  <si>
    <t xml:space="preserve"> - Mozgáskorlátozottak közlekedési támogatása</t>
  </si>
  <si>
    <t xml:space="preserve"> - Tatai Kistérségi Többcélú Társulástól</t>
  </si>
  <si>
    <t xml:space="preserve"> - Bartók B. u.-i Óvoda bővítése</t>
  </si>
  <si>
    <t xml:space="preserve"> - Angol Park rehabilitációja</t>
  </si>
  <si>
    <t xml:space="preserve"> - Fáklya u. - Diófa u. korszerűsítése</t>
  </si>
  <si>
    <t xml:space="preserve"> - József A. u vízrendezése</t>
  </si>
  <si>
    <t xml:space="preserve"> - Kocsi u. - Dózsa Gy. u. kerékpárút építés</t>
  </si>
  <si>
    <t xml:space="preserve"> - Kossuth tér rehabilitációja</t>
  </si>
  <si>
    <t xml:space="preserve"> - Kajakház- Öreg-tavi kerékpárút</t>
  </si>
  <si>
    <t xml:space="preserve"> - Új u.-i Bölcsöde férőhely bővítés</t>
  </si>
  <si>
    <t xml:space="preserve"> - ÁROP hivatal szervezetfejlesztése</t>
  </si>
  <si>
    <t xml:space="preserve"> - Polgármesteri Hivatal akadálymentesítése</t>
  </si>
  <si>
    <t>2010. évi alakulása (E Ft-ban)</t>
  </si>
  <si>
    <t>Pénzeszközátadások, támogatások 2010. évi előirányzata (E Ft-ban)</t>
  </si>
  <si>
    <t xml:space="preserve"> - Tatai Városgazda Nonprofit Kft. támogatása</t>
  </si>
  <si>
    <t xml:space="preserve"> - Kocsi u.  - Környei u.-i jelzőlámparendszer kiépítésére</t>
  </si>
  <si>
    <t xml:space="preserve"> - Május 1. u. - Almási u direktág kivitelezésére Útpénztárnak</t>
  </si>
  <si>
    <t xml:space="preserve"> - Panel Programra, Öko-programra, NEP pályázatokra</t>
  </si>
  <si>
    <t xml:space="preserve"> - TDM szervezet működésére, 141/2009./V.24./, 270/2009./VIII.12./ sz. határozatok alapján</t>
  </si>
  <si>
    <t xml:space="preserve"> - Tatai Kistérségi Többcélú Tásrulásnak Kistérségi energiaracionalizálás pályázatra 256/2009./VII.2./ sz. hat.</t>
  </si>
  <si>
    <t xml:space="preserve"> - Polgárdi Önkormányzatnak</t>
  </si>
  <si>
    <t xml:space="preserve"> - Környzetvédelmi alapra pályázók részére</t>
  </si>
  <si>
    <t>Kölcsön visszatérülés (lakástámogatás 9.000 E Ft, Fényes Fürdő 5.000 E Ft)</t>
  </si>
  <si>
    <t>Előző évi pénzmaradvány (ebből kötvény maradvány 1.700.000 E Ft, működési pénzmaradvány 150.000 E Ft)</t>
  </si>
  <si>
    <t xml:space="preserve"> - Vissza nem térítendő lakástámogatások</t>
  </si>
  <si>
    <t xml:space="preserve"> - Sportalap pályázatokra</t>
  </si>
  <si>
    <t xml:space="preserve"> - Tatai Minimarathon</t>
  </si>
  <si>
    <t xml:space="preserve"> - Kőkúti Sasok DSE támogatása</t>
  </si>
  <si>
    <t xml:space="preserve"> - Tatai Kistérségi Többcélú Társulás tagdíj</t>
  </si>
  <si>
    <t xml:space="preserve"> - Bacsó B. u. szolgalmi jog bejegyzés</t>
  </si>
  <si>
    <t xml:space="preserve"> - Zrínyi u. - Temesvári út szolgalmi jog bejegyzés</t>
  </si>
  <si>
    <t xml:space="preserve"> - Tatai Kistérségi Többcélú Társulásnak Idősek Otthona</t>
  </si>
  <si>
    <t>Normatív lakásfenntartási támogatás</t>
  </si>
  <si>
    <t>Zöldterület-kezelés (Parkfenntartás)</t>
  </si>
  <si>
    <t>Zöldterület kezelés (játszótér fenntartás)</t>
  </si>
  <si>
    <t>024000</t>
  </si>
  <si>
    <t>Erdészeti szolgáltatás</t>
  </si>
  <si>
    <t>Egyéb kiadói tevékenység (lapkiadás)</t>
  </si>
  <si>
    <t>Út, autópálya építése</t>
  </si>
  <si>
    <t>Üdülői szálláshely szolgáltatás</t>
  </si>
  <si>
    <t>Közutak, hidak, alagutak üzemeltetése, fenntartása</t>
  </si>
  <si>
    <t>Önkormányzatok közbeszerzési eljárásainak lebonyolításával összefüggő feladatok</t>
  </si>
  <si>
    <t>Lakó- és nem lakó épületek építése</t>
  </si>
  <si>
    <t>Egyéb közösségi, társadalmi tevékenység</t>
  </si>
  <si>
    <t>Víztermelés-, kezelés, ellátás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</si>
  <si>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</si>
  <si>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</si>
  <si>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</si>
  <si>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</si>
  <si>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</si>
  <si>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Közvilágítás</t>
  </si>
  <si>
    <t>Város- és községgazdálkodási szolgáltatások</t>
  </si>
  <si>
    <t>Szabadidős park, fürdő és strandszolgáltatás</t>
  </si>
  <si>
    <t>Köztemető fenntartás</t>
  </si>
  <si>
    <t>VKG Környezetvédelem</t>
  </si>
  <si>
    <t>Települési hulladékkezelés</t>
  </si>
  <si>
    <t>Szennyvíz gyűjtés elhelyezés</t>
  </si>
  <si>
    <t>Önkormányzat által nyújtott lakástámogatás</t>
  </si>
  <si>
    <t>Munkáltatók által nyújtott lakástámogatás</t>
  </si>
  <si>
    <t>Tűzoltás, műszaki mentés, katasztrófahelyzet elhárítása (Polgári védelem)</t>
  </si>
  <si>
    <t>Tűzoltás, műszaki mentés, katasztrófahelyzet elhárítása</t>
  </si>
  <si>
    <t>Közcélú foglalkoztatás</t>
  </si>
  <si>
    <t>Közhasznú foglalkoztatás</t>
  </si>
  <si>
    <t>Egyéb önkormányzati eseti pénzbeli ellátás (Eseti és hivatalos gondnok)</t>
  </si>
  <si>
    <t>Közterület rendjének fenntartása (Polgárőrség)</t>
  </si>
  <si>
    <t>Egyéb személyi szolgáltatás (CSERI)</t>
  </si>
  <si>
    <t>Máshova nem sorolható sport támogatások</t>
  </si>
  <si>
    <t>Utánpótlás nevelési tevékenység és támogatása (Sport iskola)</t>
  </si>
  <si>
    <t>Kiemelt önkormányzati rendezvények (Minimarathon)</t>
  </si>
  <si>
    <t>Kiemelt önkormányzati rendezvények (Városi ünnepek)</t>
  </si>
  <si>
    <t xml:space="preserve"> - Házi segítségnyújtás</t>
  </si>
  <si>
    <t xml:space="preserve"> - Támogató szolgáltatásra</t>
  </si>
  <si>
    <t xml:space="preserve"> - Közösségi alapellátás</t>
  </si>
  <si>
    <t xml:space="preserve"> - Közösségi ellátás (informatikai eszközbeszerzés)</t>
  </si>
  <si>
    <t>Önkormányzatok elszámolása (adók)</t>
  </si>
  <si>
    <t>Önkormányzatok elszámolása (normatíva)</t>
  </si>
  <si>
    <t>Óvodai nevelés</t>
  </si>
  <si>
    <t>Alapfokú oktatás</t>
  </si>
  <si>
    <t>Tanulmányi ösztöndíj</t>
  </si>
  <si>
    <t>Szociális ösztöndíj</t>
  </si>
  <si>
    <t>Alapfokú művészeti oktatás</t>
  </si>
  <si>
    <t>Önkormányzato ifjúsági rendezvények és programok, valamint támogatások (Gyermekbarát város)</t>
  </si>
  <si>
    <t>Oktatási kiegészítő tevékenységek komplex támogatása</t>
  </si>
  <si>
    <t>Közművelődési tevékenység támogatása</t>
  </si>
  <si>
    <t>Bölcsödei ellátás</t>
  </si>
  <si>
    <t>Önkormányzati szociális ámogatások finanszírozása</t>
  </si>
  <si>
    <t>Járóbeteg-ellátás, fogorvosi ellátás komplex fejlesztési támogatása (Háziorvosok)</t>
  </si>
  <si>
    <t>Könyvkiadás</t>
  </si>
  <si>
    <t>Gyermekjóléti szociális ellátás</t>
  </si>
  <si>
    <t>Sportszabadidős képzés (Tanuszoda)</t>
  </si>
  <si>
    <t>Helyi rendszeres lakásfenntartási támogatás</t>
  </si>
  <si>
    <t>Ápolási díj alanyi jogon</t>
  </si>
  <si>
    <t>Ápolási díj méltányossági alapon</t>
  </si>
  <si>
    <t>Rendszeres GYEV</t>
  </si>
  <si>
    <t>Rendkívüli GYEV</t>
  </si>
  <si>
    <t>Egyéb önkormányzati eseti pénzbeli ellátások (életkezdési támogatás)</t>
  </si>
  <si>
    <t>Adósságkezelés</t>
  </si>
  <si>
    <t>Nemzeti ünnepek</t>
  </si>
  <si>
    <t>Kiemelt Önkormányzati rendezvények</t>
  </si>
  <si>
    <t>Város- és községgazdálkodási szolgáltatások (kistérségi energiarac.)</t>
  </si>
  <si>
    <t>Fénymásolás, egyéb irodai szolgáltatás</t>
  </si>
  <si>
    <t>Egyéb gép, tárgyi eszköz kölcsönzés</t>
  </si>
  <si>
    <t>Személygépjármű kölcsönzés</t>
  </si>
  <si>
    <t>Város- és községgazdálkodási szolgáltatások (Építés és településfejlesztés)</t>
  </si>
  <si>
    <t>Finanszírozási műveletek (hitel, készfizető kezesség, hitelkamat)</t>
  </si>
  <si>
    <t>Önkormányzat nemzetközi kapcsolatai (Testvérváros)</t>
  </si>
  <si>
    <t>Önkormányzatok elszámolásai (Építési bírság)</t>
  </si>
  <si>
    <t>Közterület-felügyelet 842421</t>
  </si>
  <si>
    <t>841127</t>
  </si>
  <si>
    <t>Önkormányzatok igazgatási tevékenysége</t>
  </si>
  <si>
    <t>Önkormányzatok igazgatási tevékenysége (Pénzmaradvány)</t>
  </si>
  <si>
    <t>Önkormányzati jogalkotás (képviselők)</t>
  </si>
  <si>
    <t xml:space="preserve"> - Gondoskodó kistérség, szociális alapellátások minőségi fejlesztése projekt</t>
  </si>
  <si>
    <t xml:space="preserve"> - Kisajátítások</t>
  </si>
  <si>
    <t xml:space="preserve"> -- Agostyáni u. - Nyár u.</t>
  </si>
  <si>
    <t xml:space="preserve"> -- Agostyán, Kert u.</t>
  </si>
  <si>
    <t xml:space="preserve"> -- Újhegy</t>
  </si>
  <si>
    <t xml:space="preserve"> -- Akácfa u.</t>
  </si>
  <si>
    <t xml:space="preserve"> - Ravatalozó felújítás</t>
  </si>
  <si>
    <t xml:space="preserve"> - Tardos Önkormányzattól általános iskola működésre</t>
  </si>
  <si>
    <t xml:space="preserve"> - Tatai Városgazda Nonprofit Kft.-nek telephely kialakításra</t>
  </si>
  <si>
    <t xml:space="preserve"> - Foglalkoztatás növelő támogatás (kis- és középvállalkozások)</t>
  </si>
  <si>
    <t>Támogatásértékű felhalmozási célú bevételek:</t>
  </si>
  <si>
    <t>Bartók B.u.-i. Óvoda bővítése</t>
  </si>
  <si>
    <t>Intézmények energiaracionalizálása</t>
  </si>
  <si>
    <t>Angol park rehabilitációja</t>
  </si>
  <si>
    <t>Kocsi u.-Dózsa Gy.u.kerékpárút építés</t>
  </si>
  <si>
    <t>Fáklya u.-Diófa u. korszerűsítése</t>
  </si>
  <si>
    <t>József A. u. vízrendezése</t>
  </si>
  <si>
    <t>Kossuth tér rehabilitációja</t>
  </si>
  <si>
    <t>Kajakház-Öreg-tavi kerékpárút</t>
  </si>
  <si>
    <t>Új u.-i.Bölcsőde férőhely bővítés</t>
  </si>
  <si>
    <t>Polgármesteri Hivatal akadálymentesítése</t>
  </si>
  <si>
    <t>Beruházási feladatok 2010.évi:</t>
  </si>
  <si>
    <t xml:space="preserve"> </t>
  </si>
  <si>
    <t xml:space="preserve">  </t>
  </si>
  <si>
    <t>Felújítási feladatok 2010. évi költségvetésből:</t>
  </si>
  <si>
    <t>Polgármesteri Hivatal akadálymentesítése KDOP-2009.-5.3.2 pályázat 343/2009./IX.30./sz.határozat</t>
  </si>
  <si>
    <t xml:space="preserve">Összesen: </t>
  </si>
  <si>
    <t>Felhasználási javaslat  összege a 2010. évi költségvetésben:</t>
  </si>
  <si>
    <t>Kötvénykibocsátásból tervezett kiadások</t>
  </si>
  <si>
    <t>Megbízási szerződés szerint fizetendő díj (Budapest Priv-Invest Kft-nek)</t>
  </si>
  <si>
    <t>Kötvény után fizetendő kamat</t>
  </si>
  <si>
    <t xml:space="preserve"> - THAC kézilabda szakosztály támogatása</t>
  </si>
  <si>
    <t>Gondoskodó kistérség,szociális alapellátások minőségi fejlesztése projekt</t>
  </si>
  <si>
    <t xml:space="preserve"> - Jázmin u. 22-24. ingatlanok megvásárlása 472/2009./XII.16./ sz. határozat (további 20.000 E Ft 2011-ben esedékes)</t>
  </si>
  <si>
    <t>Üzletrész értékesítés</t>
  </si>
  <si>
    <t xml:space="preserve"> - üzletrész értékesítés</t>
  </si>
  <si>
    <t xml:space="preserve"> - Baji út  korszerűsítése KKK-nak</t>
  </si>
  <si>
    <t>Ingatlan, üzletrész értékesítés</t>
  </si>
  <si>
    <t xml:space="preserve"> - Kocsi u.-Környei u-i jelzőlámparendszer kiépítésére</t>
  </si>
  <si>
    <t xml:space="preserve"> - Május 1.u.-Almási u.direktág kivitelezésére Útpénztárnak</t>
  </si>
  <si>
    <t xml:space="preserve"> - Panel Programra,Öko-programra,NEP-pályázatokra</t>
  </si>
  <si>
    <t xml:space="preserve"> - Tatai Kistérési Többcélú Társulásnak Kistérségi energiaranionalizálás pályázatra 256/2009/VII.2./sz.határozat</t>
  </si>
  <si>
    <t xml:space="preserve"> - Tatai Kistérési Többcélú Társulásnak Idősek Otthona</t>
  </si>
  <si>
    <t xml:space="preserve"> - Új u-i vízfolyás alsó szakasz kotrás</t>
  </si>
  <si>
    <t xml:space="preserve"> - bírság (környezetvédelmi 500, közterület 3000, építés 1500)</t>
  </si>
  <si>
    <t>Egyéb célra kölcsönnyújtás</t>
  </si>
  <si>
    <t xml:space="preserve"> - egyes jöv. pótló támog. kieg. 116.225, közcélú tám 74.000)</t>
  </si>
  <si>
    <t xml:space="preserve"> - központosított támogatás  </t>
  </si>
  <si>
    <t xml:space="preserve"> - Országgyűlési választások miatt átlagbér megtérítés GDF SUEZ-nek</t>
  </si>
  <si>
    <t xml:space="preserve"> - Általános tartalékból</t>
  </si>
  <si>
    <t xml:space="preserve">  -- Történelmi Igazságtételi Bizottság 56-os tagozatának </t>
  </si>
  <si>
    <t xml:space="preserve">  -- KEM Önkormányzat Múzeumainak Igazgatósága </t>
  </si>
  <si>
    <t xml:space="preserve">  -- Pusztinai Házért Egyesület </t>
  </si>
  <si>
    <t xml:space="preserve"> - Országos Mentőszolgálat Közép-dunántúli Regionális Mentőszervezet </t>
  </si>
  <si>
    <t xml:space="preserve"> - Tatabánya Város Hivatalos Tűzoltóság </t>
  </si>
  <si>
    <t xml:space="preserve"> - Háztűzőrző Nők és Anyák Egyesülete</t>
  </si>
  <si>
    <t xml:space="preserve"> - Bláthy Ottó Szakközépiskola és Szakiskola és Kollégium</t>
  </si>
  <si>
    <t xml:space="preserve"> - Agostyáni Önkéntes Tűzoltó Egyesület </t>
  </si>
  <si>
    <t xml:space="preserve"> - Csillag-virág Keresztény Családi Napközi</t>
  </si>
  <si>
    <t xml:space="preserve"> - Hódy Sportegyesület</t>
  </si>
  <si>
    <t xml:space="preserve"> - OMS Tata Vívó Sportegyesület</t>
  </si>
  <si>
    <t xml:space="preserve"> - Tatai Sportegyesület</t>
  </si>
  <si>
    <t xml:space="preserve"> - Aréna SE </t>
  </si>
  <si>
    <t xml:space="preserve"> - Közműfejlesztési támogatás lakosságnak </t>
  </si>
  <si>
    <t xml:space="preserve"> - Tatai Városi Római Katolikus Plébánia Szent Kereszt Templom felújítása</t>
  </si>
  <si>
    <t xml:space="preserve"> - Tatai Távhőszolgáltató Kft. kazánátalakítás</t>
  </si>
  <si>
    <t>12. sz. melléklet</t>
  </si>
  <si>
    <t xml:space="preserve">Német Kisebbségi Önkormányzat </t>
  </si>
  <si>
    <t>2010.évi költségvetése (E Ft)</t>
  </si>
  <si>
    <t xml:space="preserve">Megnevezés </t>
  </si>
  <si>
    <t>Dologi kiadások és egyéb folyó kiadások</t>
  </si>
  <si>
    <t>Helyi kisebbségi önkormányzatok kiadásai összesen</t>
  </si>
  <si>
    <t>Központosított támogatás</t>
  </si>
  <si>
    <t>Helyi kisebbségi önkormányzatok bevételei összesen</t>
  </si>
  <si>
    <t xml:space="preserve">Cigány Kisebbségi Önkormányzat </t>
  </si>
  <si>
    <t xml:space="preserve">Lengyel Kisebbségi Önkormányzat </t>
  </si>
  <si>
    <t>13. sz. melléklet</t>
  </si>
  <si>
    <t>Felhalmozási célú pénzeszközátadás</t>
  </si>
  <si>
    <t xml:space="preserve"> - Környei út - Kocsi út csomópont járda felújítás</t>
  </si>
  <si>
    <t xml:space="preserve"> - Magyary Z. Műv. Központ felújításának pótmunkái</t>
  </si>
  <si>
    <t xml:space="preserve"> - Balatonvilágosi üdülő téliesítése</t>
  </si>
  <si>
    <t xml:space="preserve"> - Agostyáni közösségi tér kialakítása</t>
  </si>
  <si>
    <t xml:space="preserve"> - Kocsi út - Környei út közötti szakasz szénhidrogén vezeték kiváltásának Áfája</t>
  </si>
  <si>
    <t xml:space="preserve"> - Kocsi u. 4. ingatlan vételár</t>
  </si>
  <si>
    <t xml:space="preserve"> - Sikerdíjak</t>
  </si>
  <si>
    <t xml:space="preserve"> -- Ökoturisztikai központ KDOP-2.1.1/B</t>
  </si>
  <si>
    <t xml:space="preserve"> -- Gondoskodó kistérség Deák F. u. - Almási u. KDOP5.2.2/A</t>
  </si>
  <si>
    <t xml:space="preserve"> -- Kossuth tér rehabilitációja KDOP-3.1.1/A</t>
  </si>
  <si>
    <t xml:space="preserve"> - Bartók B. u.-i Óvoda közműellátása</t>
  </si>
  <si>
    <t xml:space="preserve"> - Által-ér völgyi kerékpárút (pályázatírás 5.500 E Ft; kisajátítás, területszerzés 9.000 E Ft)</t>
  </si>
  <si>
    <t xml:space="preserve"> - Fényes Fürdő Kft. részesedés</t>
  </si>
  <si>
    <t>Számítástechnikai eszközvásárlás</t>
  </si>
  <si>
    <t xml:space="preserve"> - Szociális Alapellátó</t>
  </si>
  <si>
    <t xml:space="preserve"> - Vaszary János Általános Iskola Jázmin Utcai Tagintézmény - kazáncsere</t>
  </si>
  <si>
    <t xml:space="preserve"> - Móricz Zs. Könyvtár - eszközfejlesztés</t>
  </si>
  <si>
    <t>Országgyűlési képviselő választás</t>
  </si>
  <si>
    <t>Önkormányzat nemzetközi kapcsolatai (HUSK)</t>
  </si>
  <si>
    <t>Szociális ellátások komplex tám.</t>
  </si>
  <si>
    <t>Családi napközi</t>
  </si>
  <si>
    <t>Önkormányzatok igazgatási tevékenysége (Általános tartalék)</t>
  </si>
  <si>
    <t>Önkormányzatok igazgatási tevékenysége (Működési tartalék)</t>
  </si>
  <si>
    <t>Önkormányzatok igazgatási tevékenysége (Felhalmozási tartalék)</t>
  </si>
  <si>
    <t>Önkormányzatok igazgatási tevékenysége (Kötvény tartalék)</t>
  </si>
  <si>
    <t xml:space="preserve"> - Tata és Szőgyén közötti lakossági kapcsolatok kiszélesítése, pályázathoz tám. (Husk)</t>
  </si>
  <si>
    <t xml:space="preserve"> - Tatai Kábitószerügyi Fórum programjaihoz</t>
  </si>
  <si>
    <t xml:space="preserve"> - Országgyűlési képviselő választások I. fordoló</t>
  </si>
  <si>
    <t xml:space="preserve"> - Üzletrész vásárlás Fogaskerékgyár Kft-től</t>
  </si>
  <si>
    <t>Kölcsönvisszatérülés (Távhő, Városgazda Kht., Fényes Fürdő Kft.)</t>
  </si>
  <si>
    <t>Kölcsön:</t>
  </si>
  <si>
    <t xml:space="preserve"> - Tatai Fényes Fürdő Kft.  (E-ON-nal szerződés kötés)</t>
  </si>
  <si>
    <t xml:space="preserve"> - Tatai Fényes Fürdő Kft. (Dialcont Kft.)</t>
  </si>
  <si>
    <t xml:space="preserve"> - Tatai Fényes Fürdő Kft. (áthidaló kölcsön - fürdő üzem.)</t>
  </si>
  <si>
    <t xml:space="preserve">Központosított támogatás  </t>
  </si>
  <si>
    <t xml:space="preserve">Kölcsön: </t>
  </si>
  <si>
    <t xml:space="preserve"> - Tatai Fényes Fürdő Kft.-Társasházak fűtéskorszerüsítése</t>
  </si>
  <si>
    <t xml:space="preserve">            - Egyéb célra </t>
  </si>
  <si>
    <t xml:space="preserve">Központosított támogatás </t>
  </si>
  <si>
    <t>Központosított támogatás - kisebbségi önkormányzatoknak</t>
  </si>
  <si>
    <t>Előző évi pénzmaradvány (Ft lekötések és egyéb számla,devizabetét és devizaszámlák egyenlege)</t>
  </si>
  <si>
    <t>2009.évi pénzmaradványból Fényes Fürdő Kft. részesedése miatt</t>
  </si>
  <si>
    <t>Európai Uniós pályázatokhoz megelőlegezett összeg visszatérítése</t>
  </si>
  <si>
    <t>Pénzmaradványból visszapótlás</t>
  </si>
  <si>
    <t xml:space="preserve"> -Baji út korszerűsítése KKK-nak</t>
  </si>
  <si>
    <t xml:space="preserve"> -Tatai Távhőszolgáltató Kft.kazánház átalakítása 432/2009.(XI.25.)sz.határozat alapján</t>
  </si>
  <si>
    <t>Tatai Távhőszolgáltató Kft-nek kölcsön a 285/2009.(IX.9.)sz.határozat</t>
  </si>
  <si>
    <t>Intézmények Gazdasági Hivatalához tartozó részben önálló intézmények 2010.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</si>
  <si>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</si>
  <si>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</si>
  <si>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</si>
  <si>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</si>
  <si>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</si>
  <si>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</si>
  <si>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</si>
  <si>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</si>
  <si>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</si>
  <si>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</si>
  <si>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</si>
  <si>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</si>
  <si>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</si>
  <si>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</si>
  <si>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</si>
  <si>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járulék</t>
  </si>
  <si>
    <t>Dologi</t>
  </si>
  <si>
    <t>Dologiból ellátottakra vonatkozó élelmiszer beszerzés és vásárolt élelmezés</t>
  </si>
  <si>
    <t>Pénzbeli juttatás</t>
  </si>
  <si>
    <t>Bartók B. utcai Óvoda</t>
  </si>
  <si>
    <t>Bölcsöde</t>
  </si>
  <si>
    <t>Vaszary J. Általános Iskola</t>
  </si>
  <si>
    <t>Vaszary J. Általános Iskola - Logopédiai Intézet</t>
  </si>
  <si>
    <t>Vaszary J. Általános Iskola Jázmin utcai Tagintézménye</t>
  </si>
  <si>
    <t>Vaszary J. Általános Iskola Tardosi Tagintézménye</t>
  </si>
  <si>
    <t>Vaszary J. Általános Iskola összesen</t>
  </si>
  <si>
    <t>Kőkúti Általános Iskola - Fazekas U. Tagintézmény</t>
  </si>
  <si>
    <t>Kőkúti Általános Iskola összesen</t>
  </si>
  <si>
    <t>Zeneiskola</t>
  </si>
  <si>
    <t>Könyvtár</t>
  </si>
  <si>
    <t>Szociális Alapellátó Intézmény</t>
  </si>
  <si>
    <t>Költségvetési alcímek és szakfeladatok összesen:</t>
  </si>
  <si>
    <t>modósítás</t>
  </si>
  <si>
    <t>Fürdő Óvoda módosítás</t>
  </si>
  <si>
    <t>egyéb finanszírozás módosítása</t>
  </si>
  <si>
    <t>egyéb finanszírozás módosítása járulék 2.</t>
  </si>
  <si>
    <t>pénzmaradvány</t>
  </si>
  <si>
    <t>vezetői prémium</t>
  </si>
  <si>
    <t>szoc.létszám</t>
  </si>
  <si>
    <t>összes változás</t>
  </si>
  <si>
    <t xml:space="preserve"> - Magyary Zoltán Művelődési Központ felújításának pótmunkái</t>
  </si>
  <si>
    <t xml:space="preserve"> - Magyar Zoltán Művelődési Ház felújításának pótmunkái</t>
  </si>
  <si>
    <t xml:space="preserve"> - Új úti Bölcsöde 115/2010.(IV.28.) sz. határozat</t>
  </si>
  <si>
    <t xml:space="preserve"> - Fényes Fürdő kft.részesedés</t>
  </si>
  <si>
    <t xml:space="preserve"> - Bartók Béla u.-i Óvoda közműellátás</t>
  </si>
  <si>
    <t xml:space="preserve"> - Által-ér völgyi kerékpárút (pályázatírás 5.500 E Ft, kisajátítás,területszerzés 9.000 E Ft)</t>
  </si>
  <si>
    <t xml:space="preserve"> - 60:60Kisajátítások</t>
  </si>
  <si>
    <t xml:space="preserve"> --Agostyáni u.-Nyár u.</t>
  </si>
  <si>
    <t xml:space="preserve"> --Agostyán,Kert u.</t>
  </si>
  <si>
    <t xml:space="preserve"> --Újhegy</t>
  </si>
  <si>
    <t xml:space="preserve"> --Akácfa u.</t>
  </si>
  <si>
    <t xml:space="preserve"> -Pályázatok előkészítésére</t>
  </si>
  <si>
    <t xml:space="preserve"> - Bartók B.u.felújítása 378/2009/X.28./sz.határozat</t>
  </si>
  <si>
    <t xml:space="preserve"> - Magyary Zoltán Művelődési Ház felújítása 376/2009./X.28./sz.határozat</t>
  </si>
  <si>
    <t xml:space="preserve"> - Rákóczi u.felújításaTEUT támogatással</t>
  </si>
  <si>
    <t xml:space="preserve"> - Keszthelyi u.12.és Gesztenyefasor 47.felújítás befejezésével kapcsolatos költségek</t>
  </si>
  <si>
    <t xml:space="preserve"> - Új úti Bölcsöde</t>
  </si>
  <si>
    <t xml:space="preserve"> -- Új u-i Bölcsőde férőhely fejlesztés KDOP-5.2.2/B</t>
  </si>
  <si>
    <t xml:space="preserve"> - Bölcsőde konyhai berendezések vásárlása, udvari játékok</t>
  </si>
  <si>
    <t>Mód.(VI.02.)</t>
  </si>
  <si>
    <t xml:space="preserve"> - Játszóterek kialakítása  (Bacsó B. úti ltp. és egyéb területen)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</si>
</sst>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</numFmts>
  <fonts count="44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1" applyFont="1" applyAlignment="1" quotePrefix="1">
      <alignment horizontal="left"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8" xfId="21" applyFont="1" applyBorder="1">
      <alignment/>
      <protection/>
    </xf>
    <xf numFmtId="3" fontId="4" fillId="0" borderId="0" xfId="21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 applyAlignment="1">
      <alignment horizontal="centerContinuous"/>
      <protection/>
    </xf>
    <xf numFmtId="3" fontId="14" fillId="0" borderId="0" xfId="19" applyNumberFormat="1" applyFont="1" applyAlignment="1">
      <alignment horizontal="right"/>
      <protection/>
    </xf>
    <xf numFmtId="0" fontId="16" fillId="0" borderId="0" xfId="19" applyFont="1">
      <alignment/>
      <protection/>
    </xf>
    <xf numFmtId="0" fontId="16" fillId="0" borderId="0" xfId="19" applyFont="1" applyBorder="1">
      <alignment/>
      <protection/>
    </xf>
    <xf numFmtId="0" fontId="1" fillId="0" borderId="0" xfId="19" applyFont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7" fillId="0" borderId="0" xfId="21" applyFont="1" applyAlignment="1" quotePrefix="1">
      <alignment horizontal="center"/>
      <protection/>
    </xf>
    <xf numFmtId="0" fontId="18" fillId="0" borderId="0" xfId="21" applyFont="1">
      <alignment/>
      <protection/>
    </xf>
    <xf numFmtId="0" fontId="18" fillId="0" borderId="0" xfId="0" applyFont="1" applyAlignment="1">
      <alignment/>
    </xf>
    <xf numFmtId="0" fontId="18" fillId="0" borderId="0" xfId="21" applyFont="1" applyAlignment="1" quotePrefix="1">
      <alignment horizontal="left"/>
      <protection/>
    </xf>
    <xf numFmtId="0" fontId="18" fillId="0" borderId="0" xfId="21" applyFont="1" applyAlignment="1">
      <alignment/>
      <protection/>
    </xf>
    <xf numFmtId="0" fontId="17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 wrapText="1"/>
    </xf>
    <xf numFmtId="37" fontId="4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7" xfId="19" applyFont="1" applyBorder="1" applyAlignment="1">
      <alignment horizontal="centerContinuous"/>
      <protection/>
    </xf>
    <xf numFmtId="3" fontId="9" fillId="0" borderId="12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3" fontId="9" fillId="0" borderId="18" xfId="19" applyNumberFormat="1" applyFont="1" applyBorder="1">
      <alignment/>
      <protection/>
    </xf>
    <xf numFmtId="49" fontId="9" fillId="0" borderId="13" xfId="19" applyNumberFormat="1" applyFont="1" applyBorder="1" applyAlignment="1">
      <alignment horizontal="center"/>
      <protection/>
    </xf>
    <xf numFmtId="3" fontId="9" fillId="0" borderId="19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3" fontId="9" fillId="0" borderId="12" xfId="19" applyNumberFormat="1" applyFont="1" applyBorder="1" applyAlignment="1">
      <alignment horizontal="right"/>
      <protection/>
    </xf>
    <xf numFmtId="3" fontId="9" fillId="0" borderId="19" xfId="19" applyNumberFormat="1" applyFont="1" applyBorder="1" applyAlignment="1">
      <alignment horizontal="right"/>
      <protection/>
    </xf>
    <xf numFmtId="3" fontId="14" fillId="0" borderId="12" xfId="19" applyNumberFormat="1" applyFont="1" applyBorder="1">
      <alignment/>
      <protection/>
    </xf>
    <xf numFmtId="3" fontId="14" fillId="0" borderId="19" xfId="19" applyNumberFormat="1" applyFont="1" applyBorder="1">
      <alignment/>
      <protection/>
    </xf>
    <xf numFmtId="3" fontId="14" fillId="0" borderId="0" xfId="19" applyNumberFormat="1" applyFont="1" applyBorder="1">
      <alignment/>
      <protection/>
    </xf>
    <xf numFmtId="0" fontId="3" fillId="0" borderId="14" xfId="0" applyFont="1" applyBorder="1" applyAlignment="1">
      <alignment wrapText="1"/>
    </xf>
    <xf numFmtId="0" fontId="16" fillId="0" borderId="0" xfId="19" applyFont="1" applyAlignment="1">
      <alignment horizontal="center"/>
      <protection/>
    </xf>
    <xf numFmtId="0" fontId="16" fillId="0" borderId="12" xfId="19" applyFont="1" applyBorder="1">
      <alignment/>
      <protection/>
    </xf>
    <xf numFmtId="0" fontId="16" fillId="0" borderId="3" xfId="19" applyFont="1" applyBorder="1">
      <alignment/>
      <protection/>
    </xf>
    <xf numFmtId="0" fontId="1" fillId="0" borderId="12" xfId="19" applyFont="1" applyBorder="1">
      <alignment/>
      <protection/>
    </xf>
    <xf numFmtId="0" fontId="14" fillId="0" borderId="1" xfId="19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20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3" fontId="9" fillId="0" borderId="16" xfId="19" applyNumberFormat="1" applyFont="1" applyBorder="1">
      <alignment/>
      <protection/>
    </xf>
    <xf numFmtId="0" fontId="17" fillId="0" borderId="21" xfId="21" applyFont="1" applyBorder="1" applyAlignment="1">
      <alignment horizontal="center"/>
      <protection/>
    </xf>
    <xf numFmtId="0" fontId="17" fillId="0" borderId="22" xfId="21" applyFont="1" applyBorder="1" applyAlignment="1">
      <alignment horizontal="center"/>
      <protection/>
    </xf>
    <xf numFmtId="0" fontId="18" fillId="0" borderId="23" xfId="21" applyFont="1" applyBorder="1">
      <alignment/>
      <protection/>
    </xf>
    <xf numFmtId="3" fontId="18" fillId="0" borderId="24" xfId="21" applyNumberFormat="1" applyFont="1" applyBorder="1">
      <alignment/>
      <protection/>
    </xf>
    <xf numFmtId="0" fontId="18" fillId="0" borderId="25" xfId="21" applyFont="1" applyBorder="1" applyAlignment="1" quotePrefix="1">
      <alignment horizontal="left"/>
      <protection/>
    </xf>
    <xf numFmtId="3" fontId="18" fillId="0" borderId="25" xfId="21" applyNumberFormat="1" applyFont="1" applyBorder="1">
      <alignment/>
      <protection/>
    </xf>
    <xf numFmtId="0" fontId="18" fillId="0" borderId="26" xfId="21" applyFont="1" applyBorder="1">
      <alignment/>
      <protection/>
    </xf>
    <xf numFmtId="0" fontId="18" fillId="0" borderId="25" xfId="21" applyFont="1" applyBorder="1">
      <alignment/>
      <protection/>
    </xf>
    <xf numFmtId="3" fontId="18" fillId="0" borderId="26" xfId="21" applyNumberFormat="1" applyFont="1" applyBorder="1">
      <alignment/>
      <protection/>
    </xf>
    <xf numFmtId="0" fontId="18" fillId="0" borderId="25" xfId="21" applyFont="1" applyBorder="1" applyAlignment="1">
      <alignment/>
      <protection/>
    </xf>
    <xf numFmtId="0" fontId="18" fillId="0" borderId="26" xfId="21" applyFont="1" applyBorder="1" applyAlignment="1">
      <alignment horizontal="left"/>
      <protection/>
    </xf>
    <xf numFmtId="3" fontId="18" fillId="0" borderId="27" xfId="21" applyNumberFormat="1" applyFont="1" applyBorder="1">
      <alignment/>
      <protection/>
    </xf>
    <xf numFmtId="0" fontId="18" fillId="0" borderId="26" xfId="0" applyFont="1" applyBorder="1" applyAlignment="1">
      <alignment/>
    </xf>
    <xf numFmtId="0" fontId="18" fillId="0" borderId="28" xfId="21" applyFont="1" applyBorder="1">
      <alignment/>
      <protection/>
    </xf>
    <xf numFmtId="3" fontId="18" fillId="0" borderId="28" xfId="21" applyNumberFormat="1" applyFont="1" applyBorder="1">
      <alignment/>
      <protection/>
    </xf>
    <xf numFmtId="0" fontId="18" fillId="0" borderId="28" xfId="0" applyFont="1" applyBorder="1" applyAlignment="1">
      <alignment/>
    </xf>
    <xf numFmtId="0" fontId="18" fillId="0" borderId="29" xfId="21" applyFont="1" applyBorder="1">
      <alignment/>
      <protection/>
    </xf>
    <xf numFmtId="0" fontId="17" fillId="0" borderId="30" xfId="21" applyFont="1" applyBorder="1">
      <alignment/>
      <protection/>
    </xf>
    <xf numFmtId="3" fontId="17" fillId="0" borderId="30" xfId="21" applyNumberFormat="1" applyFont="1" applyBorder="1">
      <alignment/>
      <protection/>
    </xf>
    <xf numFmtId="0" fontId="18" fillId="0" borderId="0" xfId="21" applyFont="1" applyBorder="1">
      <alignment/>
      <protection/>
    </xf>
    <xf numFmtId="0" fontId="17" fillId="0" borderId="5" xfId="21" applyFont="1" applyBorder="1" applyAlignment="1">
      <alignment horizontal="centerContinuous"/>
      <protection/>
    </xf>
    <xf numFmtId="0" fontId="17" fillId="0" borderId="31" xfId="21" applyFont="1" applyBorder="1" applyAlignment="1">
      <alignment horizontal="centerContinuous"/>
      <protection/>
    </xf>
    <xf numFmtId="3" fontId="18" fillId="0" borderId="29" xfId="21" applyNumberFormat="1" applyFont="1" applyBorder="1">
      <alignment/>
      <protection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8" fillId="0" borderId="1" xfId="0" applyFont="1" applyBorder="1" applyAlignment="1">
      <alignment/>
    </xf>
    <xf numFmtId="3" fontId="28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0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wrapText="1" shrinkToFit="1"/>
    </xf>
    <xf numFmtId="3" fontId="4" fillId="0" borderId="11" xfId="0" applyNumberFormat="1" applyFont="1" applyBorder="1" applyAlignment="1">
      <alignment wrapText="1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1" xfId="0" applyFont="1" applyBorder="1" applyAlignment="1">
      <alignment shrinkToFit="1"/>
    </xf>
    <xf numFmtId="0" fontId="32" fillId="0" borderId="13" xfId="0" applyFont="1" applyBorder="1" applyAlignment="1">
      <alignment horizontal="justify" vertical="top" wrapText="1"/>
    </xf>
    <xf numFmtId="0" fontId="32" fillId="0" borderId="0" xfId="0" applyFont="1" applyAlignment="1">
      <alignment/>
    </xf>
    <xf numFmtId="0" fontId="3" fillId="0" borderId="3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33" fillId="0" borderId="1" xfId="0" applyFont="1" applyBorder="1" applyAlignment="1">
      <alignment/>
    </xf>
    <xf numFmtId="0" fontId="34" fillId="0" borderId="0" xfId="0" applyFont="1" applyAlignment="1">
      <alignment/>
    </xf>
    <xf numFmtId="0" fontId="32" fillId="0" borderId="1" xfId="0" applyFont="1" applyBorder="1" applyAlignment="1">
      <alignment/>
    </xf>
    <xf numFmtId="0" fontId="14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14" xfId="0" applyFont="1" applyBorder="1" applyAlignment="1">
      <alignment shrinkToFit="1"/>
    </xf>
    <xf numFmtId="0" fontId="14" fillId="0" borderId="1" xfId="0" applyFont="1" applyBorder="1" applyAlignment="1">
      <alignment/>
    </xf>
    <xf numFmtId="0" fontId="33" fillId="0" borderId="1" xfId="0" applyFont="1" applyBorder="1" applyAlignment="1">
      <alignment shrinkToFit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7" xfId="0" applyFont="1" applyBorder="1" applyAlignment="1">
      <alignment shrinkToFit="1"/>
    </xf>
    <xf numFmtId="0" fontId="9" fillId="0" borderId="1" xfId="0" applyFont="1" applyBorder="1" applyAlignment="1">
      <alignment wrapText="1"/>
    </xf>
    <xf numFmtId="0" fontId="14" fillId="0" borderId="7" xfId="0" applyFont="1" applyBorder="1" applyAlignment="1">
      <alignment shrinkToFit="1"/>
    </xf>
    <xf numFmtId="0" fontId="9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28" fillId="0" borderId="38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3" fontId="3" fillId="0" borderId="4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3" fontId="28" fillId="0" borderId="32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0" xfId="0" applyFont="1" applyBorder="1" applyAlignment="1">
      <alignment/>
    </xf>
    <xf numFmtId="49" fontId="4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8" fillId="0" borderId="26" xfId="0" applyFont="1" applyBorder="1" applyAlignment="1">
      <alignment shrinkToFit="1"/>
    </xf>
    <xf numFmtId="3" fontId="4" fillId="0" borderId="3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3" fontId="30" fillId="0" borderId="16" xfId="0" applyNumberFormat="1" applyFont="1" applyBorder="1" applyAlignment="1">
      <alignment/>
    </xf>
    <xf numFmtId="0" fontId="1" fillId="0" borderId="16" xfId="19" applyFont="1" applyBorder="1">
      <alignment/>
      <protection/>
    </xf>
    <xf numFmtId="0" fontId="16" fillId="0" borderId="16" xfId="19" applyFont="1" applyBorder="1">
      <alignment/>
      <protection/>
    </xf>
    <xf numFmtId="0" fontId="34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32" fillId="0" borderId="46" xfId="0" applyFont="1" applyBorder="1" applyAlignment="1">
      <alignment/>
    </xf>
    <xf numFmtId="0" fontId="34" fillId="0" borderId="46" xfId="0" applyFont="1" applyBorder="1" applyAlignment="1">
      <alignment/>
    </xf>
    <xf numFmtId="0" fontId="9" fillId="0" borderId="46" xfId="0" applyFont="1" applyBorder="1" applyAlignment="1">
      <alignment shrinkToFit="1"/>
    </xf>
    <xf numFmtId="0" fontId="14" fillId="0" borderId="46" xfId="0" applyFont="1" applyBorder="1" applyAlignment="1">
      <alignment/>
    </xf>
    <xf numFmtId="3" fontId="4" fillId="0" borderId="19" xfId="0" applyNumberFormat="1" applyFont="1" applyBorder="1" applyAlignment="1">
      <alignment horizontal="center" wrapText="1"/>
    </xf>
    <xf numFmtId="0" fontId="9" fillId="0" borderId="3" xfId="19" applyFont="1" applyBorder="1" applyAlignment="1">
      <alignment/>
      <protection/>
    </xf>
    <xf numFmtId="0" fontId="9" fillId="0" borderId="45" xfId="0" applyFont="1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13" xfId="0" applyFont="1" applyBorder="1" applyAlignment="1">
      <alignment shrinkToFit="1"/>
    </xf>
    <xf numFmtId="0" fontId="4" fillId="0" borderId="48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21" applyFont="1" applyAlignment="1">
      <alignment horizontal="left"/>
      <protection/>
    </xf>
    <xf numFmtId="0" fontId="17" fillId="0" borderId="0" xfId="21" applyFont="1" applyAlignment="1">
      <alignment horizontal="left"/>
      <protection/>
    </xf>
    <xf numFmtId="0" fontId="14" fillId="0" borderId="0" xfId="19" applyFont="1" applyAlignment="1">
      <alignment/>
      <protection/>
    </xf>
    <xf numFmtId="0" fontId="15" fillId="0" borderId="0" xfId="0" applyFont="1" applyAlignment="1">
      <alignment/>
    </xf>
    <xf numFmtId="0" fontId="9" fillId="0" borderId="50" xfId="0" applyFont="1" applyBorder="1" applyAlignment="1">
      <alignment/>
    </xf>
    <xf numFmtId="0" fontId="9" fillId="0" borderId="12" xfId="19" applyFont="1" applyBorder="1" applyAlignment="1">
      <alignment horizontal="right"/>
      <protection/>
    </xf>
    <xf numFmtId="3" fontId="9" fillId="0" borderId="18" xfId="19" applyNumberFormat="1" applyFont="1" applyBorder="1" applyAlignment="1">
      <alignment horizontal="right"/>
      <protection/>
    </xf>
    <xf numFmtId="3" fontId="9" fillId="0" borderId="3" xfId="19" applyNumberFormat="1" applyFont="1" applyBorder="1" applyAlignment="1">
      <alignment horizontal="right"/>
      <protection/>
    </xf>
    <xf numFmtId="3" fontId="14" fillId="0" borderId="12" xfId="19" applyNumberFormat="1" applyFont="1" applyBorder="1" applyAlignment="1">
      <alignment horizontal="right"/>
      <protection/>
    </xf>
    <xf numFmtId="3" fontId="14" fillId="0" borderId="19" xfId="19" applyNumberFormat="1" applyFont="1" applyBorder="1" applyAlignment="1">
      <alignment horizontal="right"/>
      <protection/>
    </xf>
    <xf numFmtId="3" fontId="9" fillId="0" borderId="12" xfId="19" applyNumberFormat="1" applyFont="1" applyBorder="1" applyAlignment="1">
      <alignment horizontal="right"/>
      <protection/>
    </xf>
    <xf numFmtId="3" fontId="9" fillId="0" borderId="0" xfId="19" applyNumberFormat="1" applyFont="1" applyAlignment="1">
      <alignment horizontal="right"/>
      <protection/>
    </xf>
    <xf numFmtId="0" fontId="9" fillId="0" borderId="12" xfId="19" applyFont="1" applyBorder="1" applyAlignment="1">
      <alignment/>
      <protection/>
    </xf>
    <xf numFmtId="1" fontId="9" fillId="0" borderId="13" xfId="19" applyNumberFormat="1" applyFont="1" applyBorder="1" applyAlignment="1">
      <alignment horizontal="center"/>
      <protection/>
    </xf>
    <xf numFmtId="1" fontId="9" fillId="0" borderId="1" xfId="19" applyNumberFormat="1" applyFont="1" applyBorder="1" applyAlignment="1">
      <alignment horizontal="center"/>
      <protection/>
    </xf>
    <xf numFmtId="1" fontId="9" fillId="0" borderId="1" xfId="0" applyNumberFormat="1" applyFont="1" applyBorder="1" applyAlignment="1">
      <alignment horizontal="center" vertical="center"/>
    </xf>
    <xf numFmtId="0" fontId="9" fillId="0" borderId="17" xfId="19" applyFont="1" applyBorder="1" applyAlignment="1">
      <alignment horizontal="centerContinuous"/>
      <protection/>
    </xf>
    <xf numFmtId="0" fontId="9" fillId="0" borderId="12" xfId="19" applyFont="1" applyBorder="1" applyAlignment="1">
      <alignment horizontal="left"/>
      <protection/>
    </xf>
    <xf numFmtId="0" fontId="9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" fontId="9" fillId="0" borderId="7" xfId="19" applyNumberFormat="1" applyFont="1" applyBorder="1" applyAlignment="1">
      <alignment horizontal="center"/>
      <protection/>
    </xf>
    <xf numFmtId="0" fontId="9" fillId="0" borderId="16" xfId="19" applyFont="1" applyBorder="1" applyAlignment="1">
      <alignment/>
      <protection/>
    </xf>
    <xf numFmtId="0" fontId="3" fillId="0" borderId="51" xfId="0" applyFont="1" applyBorder="1" applyAlignment="1">
      <alignment vertical="top" wrapText="1"/>
    </xf>
    <xf numFmtId="0" fontId="20" fillId="0" borderId="46" xfId="0" applyFont="1" applyBorder="1" applyAlignment="1">
      <alignment/>
    </xf>
    <xf numFmtId="0" fontId="14" fillId="0" borderId="52" xfId="0" applyFont="1" applyBorder="1" applyAlignment="1">
      <alignment/>
    </xf>
    <xf numFmtId="3" fontId="14" fillId="0" borderId="52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0" fontId="34" fillId="0" borderId="46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32" fillId="0" borderId="46" xfId="0" applyFont="1" applyBorder="1" applyAlignment="1">
      <alignment shrinkToFit="1"/>
    </xf>
    <xf numFmtId="0" fontId="14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34" fillId="0" borderId="55" xfId="0" applyFont="1" applyBorder="1" applyAlignment="1">
      <alignment horizontal="left" vertical="center"/>
    </xf>
    <xf numFmtId="49" fontId="9" fillId="0" borderId="46" xfId="0" applyNumberFormat="1" applyFont="1" applyBorder="1" applyAlignment="1">
      <alignment/>
    </xf>
    <xf numFmtId="0" fontId="0" fillId="0" borderId="32" xfId="0" applyBorder="1" applyAlignment="1">
      <alignment/>
    </xf>
    <xf numFmtId="0" fontId="32" fillId="0" borderId="46" xfId="0" applyFont="1" applyBorder="1" applyAlignment="1">
      <alignment horizontal="left" vertical="center"/>
    </xf>
    <xf numFmtId="3" fontId="4" fillId="0" borderId="3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4" fillId="0" borderId="7" xfId="0" applyFont="1" applyBorder="1" applyAlignment="1">
      <alignment/>
    </xf>
    <xf numFmtId="0" fontId="9" fillId="0" borderId="19" xfId="0" applyFont="1" applyBorder="1" applyAlignment="1">
      <alignment horizontal="center"/>
    </xf>
    <xf numFmtId="3" fontId="14" fillId="0" borderId="10" xfId="0" applyNumberFormat="1" applyFont="1" applyBorder="1" applyAlignment="1">
      <alignment horizontal="right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" fillId="0" borderId="5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4" fillId="0" borderId="56" xfId="0" applyNumberFormat="1" applyFont="1" applyBorder="1" applyAlignment="1">
      <alignment/>
    </xf>
    <xf numFmtId="3" fontId="18" fillId="0" borderId="57" xfId="21" applyNumberFormat="1" applyFont="1" applyBorder="1">
      <alignment/>
      <protection/>
    </xf>
    <xf numFmtId="0" fontId="4" fillId="0" borderId="21" xfId="2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/>
    </xf>
    <xf numFmtId="0" fontId="0" fillId="0" borderId="19" xfId="0" applyBorder="1" applyAlignment="1">
      <alignment/>
    </xf>
    <xf numFmtId="3" fontId="3" fillId="0" borderId="15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7" fontId="4" fillId="0" borderId="10" xfId="0" applyNumberFormat="1" applyFont="1" applyBorder="1" applyAlignment="1">
      <alignment wrapText="1"/>
    </xf>
    <xf numFmtId="1" fontId="9" fillId="0" borderId="14" xfId="19" applyNumberFormat="1" applyFont="1" applyBorder="1" applyAlignment="1">
      <alignment horizontal="center"/>
      <protection/>
    </xf>
    <xf numFmtId="0" fontId="9" fillId="0" borderId="11" xfId="19" applyFont="1" applyBorder="1" applyAlignment="1">
      <alignment/>
      <protection/>
    </xf>
    <xf numFmtId="3" fontId="9" fillId="0" borderId="11" xfId="19" applyNumberFormat="1" applyFont="1" applyBorder="1">
      <alignment/>
      <protection/>
    </xf>
    <xf numFmtId="3" fontId="9" fillId="0" borderId="11" xfId="19" applyNumberFormat="1" applyFont="1" applyBorder="1" applyAlignment="1">
      <alignment horizontal="right"/>
      <protection/>
    </xf>
    <xf numFmtId="3" fontId="9" fillId="0" borderId="58" xfId="19" applyNumberFormat="1" applyFont="1" applyBorder="1" applyAlignment="1">
      <alignment horizontal="right"/>
      <protection/>
    </xf>
    <xf numFmtId="1" fontId="9" fillId="0" borderId="51" xfId="19" applyNumberFormat="1" applyFont="1" applyBorder="1" applyAlignment="1">
      <alignment horizontal="center"/>
      <protection/>
    </xf>
    <xf numFmtId="0" fontId="9" fillId="0" borderId="59" xfId="19" applyFont="1" applyBorder="1" applyAlignment="1">
      <alignment/>
      <protection/>
    </xf>
    <xf numFmtId="3" fontId="9" fillId="0" borderId="59" xfId="19" applyNumberFormat="1" applyFont="1" applyBorder="1">
      <alignment/>
      <protection/>
    </xf>
    <xf numFmtId="3" fontId="9" fillId="0" borderId="60" xfId="19" applyNumberFormat="1" applyFont="1" applyBorder="1">
      <alignment/>
      <protection/>
    </xf>
    <xf numFmtId="0" fontId="14" fillId="0" borderId="14" xfId="19" applyFont="1" applyBorder="1" applyAlignment="1">
      <alignment horizontal="left"/>
      <protection/>
    </xf>
    <xf numFmtId="0" fontId="11" fillId="0" borderId="11" xfId="0" applyFont="1" applyBorder="1" applyAlignment="1">
      <alignment horizontal="left"/>
    </xf>
    <xf numFmtId="0" fontId="1" fillId="0" borderId="11" xfId="19" applyFont="1" applyBorder="1">
      <alignment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58" xfId="19" applyNumberFormat="1" applyFont="1" applyBorder="1" applyAlignment="1">
      <alignment horizontal="right"/>
      <protection/>
    </xf>
    <xf numFmtId="0" fontId="9" fillId="0" borderId="7" xfId="19" applyFont="1" applyBorder="1" applyAlignment="1">
      <alignment horizontal="right"/>
      <protection/>
    </xf>
    <xf numFmtId="0" fontId="9" fillId="0" borderId="16" xfId="19" applyFont="1" applyBorder="1">
      <alignment/>
      <protection/>
    </xf>
    <xf numFmtId="0" fontId="9" fillId="0" borderId="16" xfId="19" applyFont="1" applyBorder="1" applyAlignment="1">
      <alignment horizontal="right"/>
      <protection/>
    </xf>
    <xf numFmtId="3" fontId="9" fillId="0" borderId="16" xfId="19" applyNumberFormat="1" applyFont="1" applyBorder="1" applyAlignment="1">
      <alignment horizontal="right"/>
      <protection/>
    </xf>
    <xf numFmtId="3" fontId="14" fillId="0" borderId="11" xfId="19" applyNumberFormat="1" applyFont="1" applyBorder="1">
      <alignment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58" xfId="19" applyNumberFormat="1" applyFont="1" applyBorder="1" applyAlignment="1">
      <alignment horizontal="right"/>
      <protection/>
    </xf>
    <xf numFmtId="3" fontId="9" fillId="0" borderId="47" xfId="19" applyNumberFormat="1" applyFont="1" applyBorder="1" applyAlignment="1">
      <alignment horizontal="right"/>
      <protection/>
    </xf>
    <xf numFmtId="0" fontId="1" fillId="0" borderId="3" xfId="19" applyFont="1" applyBorder="1">
      <alignment/>
      <protection/>
    </xf>
    <xf numFmtId="0" fontId="14" fillId="0" borderId="48" xfId="0" applyFont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wrapText="1"/>
    </xf>
    <xf numFmtId="3" fontId="14" fillId="0" borderId="56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32" fillId="0" borderId="56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14" fillId="0" borderId="48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/>
    </xf>
    <xf numFmtId="3" fontId="9" fillId="0" borderId="62" xfId="0" applyNumberFormat="1" applyFont="1" applyBorder="1" applyAlignment="1">
      <alignment/>
    </xf>
    <xf numFmtId="3" fontId="32" fillId="0" borderId="62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9" fillId="0" borderId="63" xfId="0" applyFont="1" applyBorder="1" applyAlignment="1">
      <alignment/>
    </xf>
    <xf numFmtId="0" fontId="14" fillId="0" borderId="6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3" fontId="32" fillId="0" borderId="62" xfId="0" applyNumberFormat="1" applyFont="1" applyBorder="1" applyAlignment="1">
      <alignment horizontal="right" vertical="center" wrapText="1"/>
    </xf>
    <xf numFmtId="3" fontId="14" fillId="0" borderId="62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0" fontId="0" fillId="0" borderId="62" xfId="0" applyBorder="1" applyAlignment="1">
      <alignment/>
    </xf>
    <xf numFmtId="0" fontId="9" fillId="0" borderId="61" xfId="0" applyFont="1" applyBorder="1" applyAlignment="1">
      <alignment/>
    </xf>
    <xf numFmtId="3" fontId="14" fillId="0" borderId="65" xfId="0" applyNumberFormat="1" applyFont="1" applyBorder="1" applyAlignment="1">
      <alignment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32" fillId="0" borderId="53" xfId="0" applyFont="1" applyBorder="1" applyAlignment="1">
      <alignment/>
    </xf>
    <xf numFmtId="3" fontId="32" fillId="0" borderId="6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7" fontId="4" fillId="0" borderId="47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0" fontId="14" fillId="0" borderId="12" xfId="19" applyFont="1" applyBorder="1" applyAlignment="1">
      <alignment horizontal="left"/>
      <protection/>
    </xf>
    <xf numFmtId="0" fontId="3" fillId="0" borderId="14" xfId="0" applyFont="1" applyBorder="1" applyAlignment="1">
      <alignment vertical="top" wrapText="1"/>
    </xf>
    <xf numFmtId="0" fontId="39" fillId="0" borderId="0" xfId="20">
      <alignment/>
      <protection/>
    </xf>
    <xf numFmtId="0" fontId="2" fillId="0" borderId="0" xfId="20" applyFont="1">
      <alignment/>
      <protection/>
    </xf>
    <xf numFmtId="0" fontId="29" fillId="0" borderId="0" xfId="20" applyFont="1">
      <alignment/>
      <protection/>
    </xf>
    <xf numFmtId="0" fontId="39" fillId="0" borderId="0" xfId="20" applyBorder="1">
      <alignment/>
      <protection/>
    </xf>
    <xf numFmtId="0" fontId="39" fillId="0" borderId="0" xfId="20" applyFont="1">
      <alignment/>
      <protection/>
    </xf>
    <xf numFmtId="0" fontId="2" fillId="0" borderId="0" xfId="20" applyFont="1" applyBorder="1">
      <alignment/>
      <protection/>
    </xf>
    <xf numFmtId="3" fontId="0" fillId="0" borderId="0" xfId="0" applyNumberFormat="1" applyAlignment="1">
      <alignment/>
    </xf>
    <xf numFmtId="3" fontId="14" fillId="0" borderId="49" xfId="0" applyNumberFormat="1" applyFont="1" applyBorder="1" applyAlignment="1">
      <alignment horizontal="center"/>
    </xf>
    <xf numFmtId="3" fontId="32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3" fontId="14" fillId="0" borderId="4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4" fillId="0" borderId="19" xfId="0" applyNumberFormat="1" applyFont="1" applyBorder="1" applyAlignment="1">
      <alignment horizontal="right"/>
    </xf>
    <xf numFmtId="3" fontId="32" fillId="0" borderId="47" xfId="0" applyNumberFormat="1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56" xfId="0" applyNumberFormat="1" applyFont="1" applyBorder="1" applyAlignment="1">
      <alignment horizontal="right"/>
    </xf>
    <xf numFmtId="3" fontId="14" fillId="0" borderId="47" xfId="0" applyNumberFormat="1" applyFont="1" applyBorder="1" applyAlignment="1">
      <alignment horizontal="right"/>
    </xf>
    <xf numFmtId="3" fontId="14" fillId="0" borderId="16" xfId="19" applyNumberFormat="1" applyFont="1" applyBorder="1" applyAlignment="1">
      <alignment horizontal="right"/>
      <protection/>
    </xf>
    <xf numFmtId="3" fontId="14" fillId="0" borderId="47" xfId="19" applyNumberFormat="1" applyFont="1" applyBorder="1" applyAlignment="1">
      <alignment horizontal="right"/>
      <protection/>
    </xf>
    <xf numFmtId="3" fontId="14" fillId="0" borderId="3" xfId="19" applyNumberFormat="1" applyFont="1" applyBorder="1">
      <alignment/>
      <protection/>
    </xf>
    <xf numFmtId="3" fontId="14" fillId="0" borderId="3" xfId="19" applyNumberFormat="1" applyFont="1" applyBorder="1" applyAlignment="1">
      <alignment horizontal="right"/>
      <protection/>
    </xf>
    <xf numFmtId="3" fontId="14" fillId="0" borderId="18" xfId="19" applyNumberFormat="1" applyFont="1" applyBorder="1" applyAlignment="1">
      <alignment horizontal="right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56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horizontal="right" vertical="center"/>
    </xf>
    <xf numFmtId="3" fontId="30" fillId="0" borderId="47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/>
    </xf>
    <xf numFmtId="3" fontId="30" fillId="0" borderId="19" xfId="0" applyNumberFormat="1" applyFont="1" applyBorder="1" applyAlignment="1">
      <alignment/>
    </xf>
    <xf numFmtId="3" fontId="30" fillId="0" borderId="19" xfId="0" applyNumberFormat="1" applyFont="1" applyBorder="1" applyAlignment="1">
      <alignment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2" fontId="20" fillId="0" borderId="70" xfId="0" applyNumberFormat="1" applyFont="1" applyBorder="1" applyAlignment="1">
      <alignment horizontal="center" vertical="center" wrapText="1"/>
    </xf>
    <xf numFmtId="2" fontId="9" fillId="0" borderId="71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 wrapText="1"/>
    </xf>
    <xf numFmtId="2" fontId="9" fillId="0" borderId="70" xfId="0" applyNumberFormat="1" applyFont="1" applyBorder="1" applyAlignment="1">
      <alignment horizontal="center" vertical="center" wrapText="1"/>
    </xf>
    <xf numFmtId="2" fontId="32" fillId="0" borderId="4" xfId="0" applyNumberFormat="1" applyFont="1" applyBorder="1" applyAlignment="1">
      <alignment horizontal="center" vertical="center" wrapText="1"/>
    </xf>
    <xf numFmtId="2" fontId="14" fillId="0" borderId="72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14" fillId="0" borderId="73" xfId="0" applyNumberFormat="1" applyFont="1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 vertical="center" wrapText="1"/>
    </xf>
    <xf numFmtId="2" fontId="14" fillId="0" borderId="7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3" fontId="9" fillId="0" borderId="58" xfId="0" applyNumberFormat="1" applyFont="1" applyBorder="1" applyAlignment="1">
      <alignment/>
    </xf>
    <xf numFmtId="0" fontId="18" fillId="0" borderId="2" xfId="21" applyFont="1" applyBorder="1">
      <alignment/>
      <protection/>
    </xf>
    <xf numFmtId="0" fontId="18" fillId="0" borderId="57" xfId="0" applyFont="1" applyBorder="1" applyAlignment="1">
      <alignment shrinkToFit="1"/>
    </xf>
    <xf numFmtId="0" fontId="18" fillId="0" borderId="76" xfId="21" applyFont="1" applyBorder="1">
      <alignment/>
      <protection/>
    </xf>
    <xf numFmtId="0" fontId="18" fillId="0" borderId="25" xfId="0" applyFont="1" applyBorder="1" applyAlignment="1">
      <alignment shrinkToFit="1"/>
    </xf>
    <xf numFmtId="3" fontId="18" fillId="0" borderId="77" xfId="21" applyNumberFormat="1" applyFont="1" applyBorder="1">
      <alignment/>
      <protection/>
    </xf>
    <xf numFmtId="3" fontId="17" fillId="0" borderId="77" xfId="21" applyNumberFormat="1" applyFont="1" applyBorder="1">
      <alignment/>
      <protection/>
    </xf>
    <xf numFmtId="0" fontId="18" fillId="0" borderId="57" xfId="21" applyFont="1" applyBorder="1">
      <alignment/>
      <protection/>
    </xf>
    <xf numFmtId="3" fontId="18" fillId="0" borderId="2" xfId="21" applyNumberFormat="1" applyFont="1" applyBorder="1">
      <alignment/>
      <protection/>
    </xf>
    <xf numFmtId="3" fontId="18" fillId="0" borderId="31" xfId="21" applyNumberFormat="1" applyFont="1" applyBorder="1">
      <alignment/>
      <protection/>
    </xf>
    <xf numFmtId="3" fontId="17" fillId="0" borderId="31" xfId="21" applyNumberFormat="1" applyFont="1" applyBorder="1">
      <alignment/>
      <protection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0" fontId="14" fillId="0" borderId="78" xfId="0" applyFont="1" applyBorder="1" applyAlignment="1">
      <alignment horizontal="center"/>
    </xf>
    <xf numFmtId="3" fontId="9" fillId="0" borderId="50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9" fillId="0" borderId="50" xfId="0" applyNumberFormat="1" applyFont="1" applyBorder="1" applyAlignment="1">
      <alignment horizontal="right"/>
    </xf>
    <xf numFmtId="3" fontId="32" fillId="0" borderId="50" xfId="0" applyNumberFormat="1" applyFont="1" applyBorder="1" applyAlignment="1">
      <alignment/>
    </xf>
    <xf numFmtId="3" fontId="32" fillId="0" borderId="79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3" fontId="9" fillId="0" borderId="80" xfId="0" applyNumberFormat="1" applyFont="1" applyBorder="1" applyAlignment="1">
      <alignment/>
    </xf>
    <xf numFmtId="3" fontId="14" fillId="0" borderId="79" xfId="0" applyNumberFormat="1" applyFont="1" applyBorder="1" applyAlignment="1">
      <alignment/>
    </xf>
    <xf numFmtId="3" fontId="32" fillId="0" borderId="50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0" fontId="29" fillId="0" borderId="81" xfId="20" applyFont="1" applyBorder="1" applyAlignment="1">
      <alignment horizontal="center" vertical="center"/>
      <protection/>
    </xf>
    <xf numFmtId="0" fontId="2" fillId="0" borderId="82" xfId="20" applyFont="1" applyBorder="1">
      <alignment/>
      <protection/>
    </xf>
    <xf numFmtId="0" fontId="29" fillId="0" borderId="83" xfId="20" applyFont="1" applyBorder="1">
      <alignment/>
      <protection/>
    </xf>
    <xf numFmtId="0" fontId="2" fillId="0" borderId="83" xfId="20" applyFont="1" applyBorder="1">
      <alignment/>
      <protection/>
    </xf>
    <xf numFmtId="0" fontId="29" fillId="0" borderId="84" xfId="20" applyFont="1" applyBorder="1">
      <alignment/>
      <protection/>
    </xf>
    <xf numFmtId="0" fontId="29" fillId="0" borderId="85" xfId="20" applyFont="1" applyBorder="1" applyAlignment="1">
      <alignment horizontal="center" vertical="center"/>
      <protection/>
    </xf>
    <xf numFmtId="0" fontId="2" fillId="0" borderId="86" xfId="20" applyFont="1" applyBorder="1">
      <alignment/>
      <protection/>
    </xf>
    <xf numFmtId="0" fontId="29" fillId="0" borderId="87" xfId="20" applyFont="1" applyBorder="1">
      <alignment/>
      <protection/>
    </xf>
    <xf numFmtId="0" fontId="2" fillId="0" borderId="87" xfId="20" applyFont="1" applyBorder="1">
      <alignment/>
      <protection/>
    </xf>
    <xf numFmtId="0" fontId="29" fillId="0" borderId="88" xfId="20" applyFont="1" applyBorder="1">
      <alignment/>
      <protection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2" fontId="42" fillId="0" borderId="0" xfId="0" applyNumberFormat="1" applyFont="1" applyFill="1" applyAlignment="1">
      <alignment horizontal="left" vertical="center" wrapText="1"/>
    </xf>
    <xf numFmtId="3" fontId="42" fillId="0" borderId="0" xfId="0" applyNumberFormat="1" applyFont="1" applyFill="1" applyAlignment="1">
      <alignment horizontal="center" vertical="center"/>
    </xf>
    <xf numFmtId="3" fontId="43" fillId="0" borderId="0" xfId="0" applyNumberFormat="1" applyFont="1" applyFill="1" applyAlignment="1">
      <alignment vertical="center"/>
    </xf>
    <xf numFmtId="2" fontId="36" fillId="0" borderId="0" xfId="0" applyNumberFormat="1" applyFont="1" applyFill="1" applyAlignment="1">
      <alignment horizontal="left" vertical="center" wrapText="1"/>
    </xf>
    <xf numFmtId="3" fontId="36" fillId="0" borderId="0" xfId="0" applyNumberFormat="1" applyFont="1" applyFill="1" applyAlignment="1">
      <alignment horizontal="left" vertical="center"/>
    </xf>
    <xf numFmtId="3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 wrapText="1"/>
    </xf>
    <xf numFmtId="3" fontId="36" fillId="0" borderId="32" xfId="0" applyNumberFormat="1" applyFont="1" applyFill="1" applyBorder="1" applyAlignment="1">
      <alignment horizontal="right" vertical="center"/>
    </xf>
    <xf numFmtId="3" fontId="37" fillId="0" borderId="32" xfId="0" applyNumberFormat="1" applyFont="1" applyFill="1" applyBorder="1" applyAlignment="1">
      <alignment horizontal="right" vertical="center"/>
    </xf>
    <xf numFmtId="3" fontId="37" fillId="0" borderId="19" xfId="0" applyNumberFormat="1" applyFont="1" applyFill="1" applyBorder="1" applyAlignment="1">
      <alignment horizontal="right" vertical="center"/>
    </xf>
    <xf numFmtId="3" fontId="37" fillId="0" borderId="16" xfId="0" applyNumberFormat="1" applyFont="1" applyFill="1" applyBorder="1" applyAlignment="1">
      <alignment horizontal="right" vertical="center"/>
    </xf>
    <xf numFmtId="3" fontId="37" fillId="0" borderId="47" xfId="0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center" vertical="center"/>
    </xf>
    <xf numFmtId="3" fontId="36" fillId="0" borderId="3" xfId="0" applyNumberFormat="1" applyFont="1" applyFill="1" applyBorder="1" applyAlignment="1">
      <alignment horizontal="right" vertical="center"/>
    </xf>
    <xf numFmtId="3" fontId="37" fillId="0" borderId="18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center" vertical="center"/>
    </xf>
    <xf numFmtId="3" fontId="37" fillId="0" borderId="35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9" fontId="4" fillId="0" borderId="4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4" fillId="0" borderId="4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89" xfId="0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3" fillId="0" borderId="91" xfId="0" applyFont="1" applyBorder="1" applyAlignment="1">
      <alignment/>
    </xf>
    <xf numFmtId="0" fontId="0" fillId="0" borderId="92" xfId="0" applyBorder="1" applyAlignment="1">
      <alignment/>
    </xf>
    <xf numFmtId="49" fontId="4" fillId="0" borderId="40" xfId="0" applyNumberFormat="1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93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40" xfId="0" applyFont="1" applyBorder="1" applyAlignment="1">
      <alignment/>
    </xf>
    <xf numFmtId="0" fontId="0" fillId="0" borderId="32" xfId="0" applyBorder="1" applyAlignment="1">
      <alignment/>
    </xf>
    <xf numFmtId="0" fontId="17" fillId="0" borderId="0" xfId="21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17" fillId="0" borderId="94" xfId="21" applyFont="1" applyBorder="1" applyAlignment="1">
      <alignment horizontal="center"/>
      <protection/>
    </xf>
    <xf numFmtId="0" fontId="19" fillId="0" borderId="95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19" fillId="0" borderId="95" xfId="0" applyFont="1" applyBorder="1" applyAlignment="1">
      <alignment/>
    </xf>
    <xf numFmtId="0" fontId="0" fillId="0" borderId="96" xfId="0" applyBorder="1" applyAlignment="1">
      <alignment/>
    </xf>
    <xf numFmtId="0" fontId="17" fillId="0" borderId="0" xfId="0" applyFont="1" applyAlignment="1">
      <alignment horizontal="center" shrinkToFit="1"/>
    </xf>
    <xf numFmtId="0" fontId="14" fillId="0" borderId="4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38" xfId="0" applyBorder="1" applyAlignment="1">
      <alignment horizontal="center" vertical="center" wrapText="1"/>
    </xf>
    <xf numFmtId="0" fontId="14" fillId="0" borderId="9" xfId="19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19" applyFont="1" applyBorder="1" applyAlignment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17" xfId="1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2" xfId="19" applyFont="1" applyBorder="1" applyAlignment="1">
      <alignment horizontal="center" vertical="center" wrapText="1"/>
      <protection/>
    </xf>
    <xf numFmtId="0" fontId="14" fillId="0" borderId="12" xfId="19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3" fontId="14" fillId="0" borderId="49" xfId="19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5" fillId="0" borderId="0" xfId="19" applyFont="1" applyAlignment="1">
      <alignment horizontal="center"/>
      <protection/>
    </xf>
    <xf numFmtId="0" fontId="9" fillId="0" borderId="0" xfId="0" applyFont="1" applyAlignment="1">
      <alignment/>
    </xf>
    <xf numFmtId="0" fontId="24" fillId="0" borderId="0" xfId="19" applyFont="1" applyAlignment="1">
      <alignment horizontal="center"/>
      <protection/>
    </xf>
    <xf numFmtId="0" fontId="14" fillId="0" borderId="1" xfId="19" applyFont="1" applyBorder="1" applyAlignment="1">
      <alignment horizontal="left"/>
      <protection/>
    </xf>
    <xf numFmtId="0" fontId="11" fillId="0" borderId="12" xfId="0" applyFont="1" applyBorder="1" applyAlignment="1">
      <alignment horizontal="left"/>
    </xf>
    <xf numFmtId="0" fontId="14" fillId="0" borderId="14" xfId="19" applyFont="1" applyBorder="1" applyAlignment="1">
      <alignment horizontal="left"/>
      <protection/>
    </xf>
    <xf numFmtId="0" fontId="11" fillId="0" borderId="11" xfId="0" applyFont="1" applyBorder="1" applyAlignment="1">
      <alignment horizontal="left"/>
    </xf>
    <xf numFmtId="49" fontId="14" fillId="0" borderId="1" xfId="19" applyNumberFormat="1" applyFont="1" applyBorder="1" applyAlignment="1">
      <alignment horizontal="left"/>
      <protection/>
    </xf>
    <xf numFmtId="49" fontId="14" fillId="0" borderId="12" xfId="19" applyNumberFormat="1" applyFont="1" applyBorder="1" applyAlignment="1">
      <alignment horizontal="left"/>
      <protection/>
    </xf>
    <xf numFmtId="0" fontId="14" fillId="0" borderId="12" xfId="19" applyFont="1" applyBorder="1" applyAlignment="1">
      <alignment horizontal="left"/>
      <protection/>
    </xf>
    <xf numFmtId="0" fontId="14" fillId="0" borderId="13" xfId="19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left" vertical="center" wrapText="1"/>
    </xf>
    <xf numFmtId="2" fontId="36" fillId="0" borderId="13" xfId="0" applyNumberFormat="1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2" fontId="37" fillId="0" borderId="7" xfId="0" applyNumberFormat="1" applyFont="1" applyFill="1" applyBorder="1" applyAlignment="1">
      <alignment horizontal="left" vertical="center" wrapText="1"/>
    </xf>
    <xf numFmtId="2" fontId="36" fillId="0" borderId="51" xfId="0" applyNumberFormat="1" applyFont="1" applyFill="1" applyBorder="1" applyAlignment="1">
      <alignment horizontal="left" vertical="center" wrapText="1"/>
    </xf>
    <xf numFmtId="2" fontId="37" fillId="0" borderId="14" xfId="0" applyNumberFormat="1" applyFont="1" applyFill="1" applyBorder="1" applyAlignment="1">
      <alignment horizontal="left" vertical="center" wrapText="1"/>
    </xf>
    <xf numFmtId="2" fontId="37" fillId="0" borderId="13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9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/>
    </xf>
    <xf numFmtId="0" fontId="14" fillId="0" borderId="97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2" fillId="0" borderId="68" xfId="20" applyFont="1" applyBorder="1" applyAlignment="1">
      <alignment horizontal="left"/>
      <protection/>
    </xf>
    <xf numFmtId="0" fontId="2" fillId="0" borderId="68" xfId="20" applyFont="1" applyBorder="1" applyAlignment="1">
      <alignment horizontal="left" vertical="center"/>
      <protection/>
    </xf>
    <xf numFmtId="0" fontId="29" fillId="0" borderId="46" xfId="20" applyFont="1" applyBorder="1" applyAlignment="1">
      <alignment horizontal="left"/>
      <protection/>
    </xf>
    <xf numFmtId="0" fontId="2" fillId="0" borderId="46" xfId="20" applyFont="1" applyBorder="1" applyAlignment="1">
      <alignment horizontal="left"/>
      <protection/>
    </xf>
    <xf numFmtId="0" fontId="29" fillId="0" borderId="53" xfId="20" applyFont="1" applyBorder="1" applyAlignment="1">
      <alignment horizontal="left"/>
      <protection/>
    </xf>
    <xf numFmtId="0" fontId="29" fillId="0" borderId="98" xfId="20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Brigitől kisebbségek" xfId="20"/>
    <cellStyle name="Normál_KTGVET98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workbookViewId="0" topLeftCell="D34">
      <selection activeCell="F14" sqref="F14"/>
    </sheetView>
  </sheetViews>
  <sheetFormatPr defaultColWidth="9.00390625" defaultRowHeight="12.75"/>
  <cols>
    <col min="1" max="1" width="6.125" style="4" customWidth="1"/>
    <col min="2" max="2" width="57.625" style="4" customWidth="1"/>
    <col min="3" max="3" width="0.6171875" style="4" hidden="1" customWidth="1"/>
    <col min="4" max="5" width="12.875" style="4" customWidth="1"/>
    <col min="6" max="6" width="63.25390625" style="4" customWidth="1"/>
    <col min="7" max="8" width="13.75390625" style="4" customWidth="1"/>
    <col min="9" max="16384" width="9.125" style="4" customWidth="1"/>
  </cols>
  <sheetData>
    <row r="1" ht="12.75">
      <c r="A1" s="256" t="s">
        <v>212</v>
      </c>
    </row>
    <row r="2" spans="1:8" ht="12.75">
      <c r="A2" s="544" t="s">
        <v>24</v>
      </c>
      <c r="B2" s="544"/>
      <c r="C2" s="544"/>
      <c r="D2" s="544"/>
      <c r="E2" s="544"/>
      <c r="F2" s="544"/>
      <c r="G2" s="545"/>
      <c r="H2" s="546"/>
    </row>
    <row r="3" spans="3:6" ht="13.5" thickBot="1">
      <c r="C3" s="9"/>
      <c r="D3" s="9"/>
      <c r="E3" s="9"/>
      <c r="F3" s="9"/>
    </row>
    <row r="4" spans="1:8" ht="13.5" customHeight="1" thickTop="1">
      <c r="A4" s="549" t="s">
        <v>232</v>
      </c>
      <c r="B4" s="537"/>
      <c r="C4" s="537"/>
      <c r="D4" s="537"/>
      <c r="E4" s="538"/>
      <c r="F4" s="539" t="s">
        <v>233</v>
      </c>
      <c r="G4" s="540"/>
      <c r="H4" s="541"/>
    </row>
    <row r="5" spans="1:8" ht="14.25" customHeight="1" thickBot="1">
      <c r="A5" s="189"/>
      <c r="B5" s="190"/>
      <c r="C5" s="191"/>
      <c r="D5" s="192" t="s">
        <v>206</v>
      </c>
      <c r="E5" s="192" t="s">
        <v>700</v>
      </c>
      <c r="F5" s="231"/>
      <c r="G5" s="312" t="s">
        <v>207</v>
      </c>
      <c r="H5" s="245" t="s">
        <v>700</v>
      </c>
    </row>
    <row r="6" spans="1:8" ht="13.5" customHeight="1" thickTop="1">
      <c r="A6" s="193" t="s">
        <v>234</v>
      </c>
      <c r="B6" s="194"/>
      <c r="C6" s="195"/>
      <c r="D6" s="196">
        <f>SUM(D7:D8)</f>
        <v>337088</v>
      </c>
      <c r="E6" s="196">
        <f>SUM(E7:E8)</f>
        <v>476056</v>
      </c>
      <c r="F6" s="246" t="s">
        <v>221</v>
      </c>
      <c r="G6" s="313">
        <v>1781603</v>
      </c>
      <c r="H6" s="472">
        <v>1861057</v>
      </c>
    </row>
    <row r="7" spans="1:8" ht="12.75" customHeight="1" thickBot="1">
      <c r="A7" s="198" t="s">
        <v>235</v>
      </c>
      <c r="B7" s="199"/>
      <c r="C7" s="191"/>
      <c r="D7" s="200">
        <v>140400</v>
      </c>
      <c r="E7" s="200">
        <v>141085</v>
      </c>
      <c r="F7" s="247"/>
      <c r="G7" s="314"/>
      <c r="H7" s="401"/>
    </row>
    <row r="8" spans="1:8" ht="13.5" thickTop="1">
      <c r="A8" s="198" t="s">
        <v>236</v>
      </c>
      <c r="B8" s="199"/>
      <c r="C8" s="201" t="s">
        <v>256</v>
      </c>
      <c r="D8" s="202">
        <v>196688</v>
      </c>
      <c r="E8" s="202">
        <v>334971</v>
      </c>
      <c r="F8" s="247" t="s">
        <v>288</v>
      </c>
      <c r="G8" s="315">
        <v>474811</v>
      </c>
      <c r="H8" s="398">
        <v>499186</v>
      </c>
    </row>
    <row r="9" spans="1:8" ht="12.75">
      <c r="A9" s="198"/>
      <c r="B9" s="199"/>
      <c r="C9" s="201"/>
      <c r="D9" s="202"/>
      <c r="E9" s="202"/>
      <c r="F9" s="247"/>
      <c r="G9" s="314"/>
      <c r="H9" s="401"/>
    </row>
    <row r="10" spans="1:8" ht="12.75">
      <c r="A10" s="204" t="s">
        <v>237</v>
      </c>
      <c r="B10" s="163"/>
      <c r="C10" s="203" t="s">
        <v>280</v>
      </c>
      <c r="D10" s="205">
        <f>SUM(D17+D16+D15+D12+D11)</f>
        <v>1908453</v>
      </c>
      <c r="E10" s="205">
        <f>SUM(E17+E16+E15+E12+E11)</f>
        <v>1908533</v>
      </c>
      <c r="F10" s="247" t="s">
        <v>94</v>
      </c>
      <c r="G10" s="315">
        <v>1322029</v>
      </c>
      <c r="H10" s="398">
        <v>1483453</v>
      </c>
    </row>
    <row r="11" spans="1:8" ht="12.75">
      <c r="A11" s="206" t="s">
        <v>238</v>
      </c>
      <c r="B11" s="163"/>
      <c r="C11" s="203" t="s">
        <v>281</v>
      </c>
      <c r="D11" s="207">
        <v>1140400</v>
      </c>
      <c r="E11" s="207">
        <v>1140400</v>
      </c>
      <c r="F11" s="247"/>
      <c r="G11" s="314"/>
      <c r="H11" s="401"/>
    </row>
    <row r="12" spans="1:8" ht="12.75">
      <c r="A12" s="206" t="s">
        <v>239</v>
      </c>
      <c r="B12" s="208"/>
      <c r="C12" s="203"/>
      <c r="D12" s="207">
        <f>SUM(D13:D14)</f>
        <v>666859</v>
      </c>
      <c r="E12" s="207">
        <v>666859</v>
      </c>
      <c r="F12" s="247" t="s">
        <v>289</v>
      </c>
      <c r="G12" s="315">
        <f>SUM(G13:G14)</f>
        <v>625333</v>
      </c>
      <c r="H12" s="473">
        <f>SUM(H13:H14)</f>
        <v>658359</v>
      </c>
    </row>
    <row r="13" spans="1:8" ht="12.75">
      <c r="A13" s="204"/>
      <c r="B13" s="163" t="s">
        <v>240</v>
      </c>
      <c r="C13" s="203" t="s">
        <v>282</v>
      </c>
      <c r="D13" s="207">
        <v>426859</v>
      </c>
      <c r="E13" s="207">
        <v>426859</v>
      </c>
      <c r="F13" s="232" t="s">
        <v>225</v>
      </c>
      <c r="G13" s="314">
        <v>252456</v>
      </c>
      <c r="H13" s="401">
        <v>273204</v>
      </c>
    </row>
    <row r="14" spans="1:8" ht="15" customHeight="1">
      <c r="A14" s="204"/>
      <c r="B14" s="163" t="s">
        <v>241</v>
      </c>
      <c r="C14" s="203" t="s">
        <v>283</v>
      </c>
      <c r="D14" s="207">
        <v>240000</v>
      </c>
      <c r="E14" s="207">
        <v>240000</v>
      </c>
      <c r="F14" s="232" t="s">
        <v>226</v>
      </c>
      <c r="G14" s="314">
        <v>372877</v>
      </c>
      <c r="H14" s="401">
        <v>385155</v>
      </c>
    </row>
    <row r="15" spans="1:8" ht="12.75">
      <c r="A15" s="204" t="s">
        <v>242</v>
      </c>
      <c r="B15" s="163"/>
      <c r="C15" s="203"/>
      <c r="D15" s="209">
        <v>100</v>
      </c>
      <c r="E15" s="209">
        <v>100</v>
      </c>
      <c r="F15" s="232"/>
      <c r="G15" s="314"/>
      <c r="H15" s="401"/>
    </row>
    <row r="16" spans="1:8" ht="12.75">
      <c r="A16" s="211" t="s">
        <v>159</v>
      </c>
      <c r="B16" s="188"/>
      <c r="C16" s="203" t="s">
        <v>284</v>
      </c>
      <c r="D16" s="207">
        <v>2500</v>
      </c>
      <c r="E16" s="207">
        <v>2500</v>
      </c>
      <c r="F16" s="247" t="s">
        <v>290</v>
      </c>
      <c r="G16" s="315">
        <v>223696</v>
      </c>
      <c r="H16" s="398">
        <v>224477</v>
      </c>
    </row>
    <row r="17" spans="1:8" ht="12.75">
      <c r="A17" s="204" t="s">
        <v>211</v>
      </c>
      <c r="B17" s="163"/>
      <c r="C17" s="1"/>
      <c r="D17" s="207">
        <v>98594</v>
      </c>
      <c r="E17" s="207">
        <v>98674</v>
      </c>
      <c r="F17" s="247"/>
      <c r="G17" s="315"/>
      <c r="H17" s="401"/>
    </row>
    <row r="18" spans="1:8" ht="12.75">
      <c r="A18" s="547" t="s">
        <v>243</v>
      </c>
      <c r="B18" s="548"/>
      <c r="C18" s="1"/>
      <c r="D18" s="301">
        <f>SUM(D6+D10)</f>
        <v>2245541</v>
      </c>
      <c r="E18" s="301">
        <f>SUM(E6+E10)</f>
        <v>2384589</v>
      </c>
      <c r="F18" s="247" t="s">
        <v>291</v>
      </c>
      <c r="G18" s="315">
        <v>9378</v>
      </c>
      <c r="H18" s="398">
        <v>9378</v>
      </c>
    </row>
    <row r="19" spans="1:8" ht="12.75">
      <c r="A19" s="547"/>
      <c r="B19" s="548"/>
      <c r="C19" s="1"/>
      <c r="D19" s="213"/>
      <c r="E19" s="213"/>
      <c r="F19" s="247"/>
      <c r="G19" s="314"/>
      <c r="H19" s="401"/>
    </row>
    <row r="20" spans="1:8" ht="12.75">
      <c r="A20" s="211" t="s">
        <v>88</v>
      </c>
      <c r="B20" s="212"/>
      <c r="C20" s="1"/>
      <c r="D20" s="214"/>
      <c r="E20" s="214"/>
      <c r="F20" s="247" t="s">
        <v>244</v>
      </c>
      <c r="G20" s="315">
        <f>4313314+367</f>
        <v>4313681</v>
      </c>
      <c r="H20" s="398">
        <v>4524342</v>
      </c>
    </row>
    <row r="21" spans="1:8" ht="12.75">
      <c r="A21" s="211" t="s">
        <v>245</v>
      </c>
      <c r="B21" s="188"/>
      <c r="C21" s="197" t="s">
        <v>230</v>
      </c>
      <c r="D21" s="207">
        <v>148000</v>
      </c>
      <c r="E21" s="207">
        <v>148000</v>
      </c>
      <c r="F21" s="247"/>
      <c r="G21" s="315"/>
      <c r="H21" s="398"/>
    </row>
    <row r="22" spans="1:8" ht="12.75">
      <c r="A22" s="215" t="s">
        <v>278</v>
      </c>
      <c r="B22" s="216"/>
      <c r="C22" s="197" t="s">
        <v>246</v>
      </c>
      <c r="D22" s="209">
        <v>45800</v>
      </c>
      <c r="E22" s="209">
        <v>45800</v>
      </c>
      <c r="F22" s="247" t="s">
        <v>263</v>
      </c>
      <c r="G22" s="315">
        <v>212168</v>
      </c>
      <c r="H22" s="398">
        <v>209653</v>
      </c>
    </row>
    <row r="23" spans="1:8" ht="12.75">
      <c r="A23" s="215" t="s">
        <v>173</v>
      </c>
      <c r="B23" s="216"/>
      <c r="C23" s="197" t="s">
        <v>285</v>
      </c>
      <c r="D23" s="207">
        <v>72000</v>
      </c>
      <c r="E23" s="207">
        <v>72000</v>
      </c>
      <c r="F23" s="247"/>
      <c r="G23" s="314"/>
      <c r="H23" s="398"/>
    </row>
    <row r="24" spans="1:8" ht="12.75">
      <c r="A24" s="204" t="s">
        <v>247</v>
      </c>
      <c r="B24" s="163"/>
      <c r="C24" s="7"/>
      <c r="D24" s="207">
        <v>13854</v>
      </c>
      <c r="E24" s="207">
        <v>13854</v>
      </c>
      <c r="F24" s="247" t="s">
        <v>224</v>
      </c>
      <c r="G24" s="315">
        <v>131528</v>
      </c>
      <c r="H24" s="398">
        <v>131528</v>
      </c>
    </row>
    <row r="25" spans="1:8" ht="12.75">
      <c r="A25" s="198" t="s">
        <v>187</v>
      </c>
      <c r="B25" s="199"/>
      <c r="C25" s="7"/>
      <c r="D25" s="207">
        <v>6700</v>
      </c>
      <c r="E25" s="207">
        <v>6700</v>
      </c>
      <c r="F25" s="247"/>
      <c r="G25" s="315"/>
      <c r="H25" s="398"/>
    </row>
    <row r="26" spans="1:8" ht="12.75">
      <c r="A26" s="198" t="s">
        <v>549</v>
      </c>
      <c r="B26" s="199"/>
      <c r="C26" s="7"/>
      <c r="D26" s="207">
        <v>455000</v>
      </c>
      <c r="E26" s="207">
        <v>455000</v>
      </c>
      <c r="F26" s="247" t="s">
        <v>181</v>
      </c>
      <c r="G26" s="315">
        <f>SUM(G27)</f>
        <v>8500</v>
      </c>
      <c r="H26" s="473">
        <f>SUM(H27:H28)</f>
        <v>58253</v>
      </c>
    </row>
    <row r="27" spans="1:8" ht="14.25" customHeight="1">
      <c r="A27" s="531" t="s">
        <v>249</v>
      </c>
      <c r="B27" s="532"/>
      <c r="C27" s="7"/>
      <c r="D27" s="213">
        <f>SUM(D21:D26)</f>
        <v>741354</v>
      </c>
      <c r="E27" s="213">
        <f>SUM(E21:E26)</f>
        <v>741354</v>
      </c>
      <c r="F27" s="232" t="s">
        <v>29</v>
      </c>
      <c r="G27" s="314">
        <v>8500</v>
      </c>
      <c r="H27" s="439">
        <v>8500</v>
      </c>
    </row>
    <row r="28" spans="1:8" ht="14.25" customHeight="1">
      <c r="A28" s="531"/>
      <c r="B28" s="532"/>
      <c r="C28" s="7"/>
      <c r="D28" s="214"/>
      <c r="E28" s="214"/>
      <c r="F28" s="232" t="s">
        <v>630</v>
      </c>
      <c r="G28" s="314"/>
      <c r="H28" s="401">
        <v>49753</v>
      </c>
    </row>
    <row r="29" spans="1:8" ht="12.75" customHeight="1">
      <c r="A29" s="218" t="s">
        <v>250</v>
      </c>
      <c r="B29" s="188"/>
      <c r="C29" s="7"/>
      <c r="D29" s="207">
        <v>862671</v>
      </c>
      <c r="E29" s="207">
        <v>862671</v>
      </c>
      <c r="F29" s="248"/>
      <c r="G29" s="315"/>
      <c r="H29" s="401"/>
    </row>
    <row r="30" spans="1:8" ht="12.75" customHeight="1">
      <c r="A30" s="211" t="s">
        <v>632</v>
      </c>
      <c r="B30" s="188"/>
      <c r="C30" s="7"/>
      <c r="D30" s="207">
        <v>1698</v>
      </c>
      <c r="E30" s="207">
        <v>2484</v>
      </c>
      <c r="F30" s="248" t="s">
        <v>248</v>
      </c>
      <c r="G30" s="315">
        <f>SUM(G31:G32)</f>
        <v>182393</v>
      </c>
      <c r="H30" s="473">
        <f>SUM(H31:H32)</f>
        <v>156246</v>
      </c>
    </row>
    <row r="31" spans="1:8" ht="12.75" customHeight="1">
      <c r="A31" s="551" t="s">
        <v>631</v>
      </c>
      <c r="B31" s="552"/>
      <c r="C31" s="7"/>
      <c r="D31" s="207"/>
      <c r="E31" s="207">
        <v>67828</v>
      </c>
      <c r="F31" s="249" t="s">
        <v>160</v>
      </c>
      <c r="G31" s="316">
        <v>15000</v>
      </c>
      <c r="H31" s="474">
        <v>13560</v>
      </c>
    </row>
    <row r="32" spans="1:8" ht="12.75" customHeight="1">
      <c r="A32" s="211" t="s">
        <v>23</v>
      </c>
      <c r="B32" s="188"/>
      <c r="C32" s="217" t="s">
        <v>286</v>
      </c>
      <c r="D32" s="207">
        <v>190225</v>
      </c>
      <c r="E32" s="207">
        <v>190225</v>
      </c>
      <c r="F32" s="249" t="s">
        <v>161</v>
      </c>
      <c r="G32" s="317">
        <f>SUM(G33:G34)</f>
        <v>167393</v>
      </c>
      <c r="H32" s="402">
        <f>SUM(H33:H34)</f>
        <v>142686</v>
      </c>
    </row>
    <row r="33" spans="1:8" ht="12.75" customHeight="1">
      <c r="A33" s="211" t="s">
        <v>183</v>
      </c>
      <c r="B33" s="188"/>
      <c r="C33" s="217"/>
      <c r="D33" s="207">
        <v>15661</v>
      </c>
      <c r="E33" s="207">
        <v>15661</v>
      </c>
      <c r="F33" s="232" t="s">
        <v>191</v>
      </c>
      <c r="G33" s="314">
        <v>30493</v>
      </c>
      <c r="H33" s="402">
        <v>33149</v>
      </c>
    </row>
    <row r="34" spans="1:8" ht="12.75" customHeight="1">
      <c r="A34" s="547" t="s">
        <v>251</v>
      </c>
      <c r="B34" s="548"/>
      <c r="C34" s="217"/>
      <c r="D34" s="302">
        <f>SUM(D29:D33)</f>
        <v>1070255</v>
      </c>
      <c r="E34" s="302">
        <f>SUM(E29:E33)</f>
        <v>1138869</v>
      </c>
      <c r="F34" s="232" t="s">
        <v>213</v>
      </c>
      <c r="G34" s="314">
        <v>136900</v>
      </c>
      <c r="H34" s="401">
        <v>109537</v>
      </c>
    </row>
    <row r="35" spans="1:8" ht="12.75" customHeight="1">
      <c r="A35" s="211"/>
      <c r="B35" s="299"/>
      <c r="C35" s="217"/>
      <c r="D35" s="202"/>
      <c r="E35" s="202"/>
      <c r="F35" s="232"/>
      <c r="G35" s="314"/>
      <c r="H35" s="401"/>
    </row>
    <row r="36" spans="1:8" ht="27" customHeight="1">
      <c r="A36" s="10" t="s">
        <v>197</v>
      </c>
      <c r="B36" s="163"/>
      <c r="C36" s="210"/>
      <c r="D36" s="202">
        <v>745910</v>
      </c>
      <c r="E36" s="202">
        <v>766633</v>
      </c>
      <c r="F36" s="185" t="s">
        <v>30</v>
      </c>
      <c r="G36" s="318">
        <v>5879</v>
      </c>
      <c r="H36" s="398">
        <v>5879</v>
      </c>
    </row>
    <row r="37" spans="1:8" ht="12.75" customHeight="1">
      <c r="A37" s="10" t="s">
        <v>198</v>
      </c>
      <c r="B37" s="208"/>
      <c r="C37" s="210"/>
      <c r="D37" s="202">
        <v>144668</v>
      </c>
      <c r="E37" s="202">
        <v>150802</v>
      </c>
      <c r="F37" s="232"/>
      <c r="G37" s="314"/>
      <c r="H37" s="401"/>
    </row>
    <row r="38" spans="1:8" ht="12.75" customHeight="1">
      <c r="A38" s="10" t="s">
        <v>199</v>
      </c>
      <c r="B38" s="163"/>
      <c r="C38" s="210"/>
      <c r="D38" s="207">
        <v>2492844</v>
      </c>
      <c r="E38" s="207">
        <v>2188343</v>
      </c>
      <c r="F38" s="247" t="s">
        <v>231</v>
      </c>
      <c r="G38" s="318">
        <f>SUM(G6+G8+G10+G12+G16+G18+G20+G22+G24+G26+G30+G36)</f>
        <v>9290999</v>
      </c>
      <c r="H38" s="475">
        <f>SUM(H6+H8+H10+H12+H16+H18+H20+H22+H24+H26+H30+H36)</f>
        <v>9821811</v>
      </c>
    </row>
    <row r="39" spans="1:8" ht="12.75" customHeight="1">
      <c r="A39" s="221" t="s">
        <v>188</v>
      </c>
      <c r="B39" s="163"/>
      <c r="C39" s="210"/>
      <c r="D39" s="213">
        <f>SUM(D36:D38)</f>
        <v>3383422</v>
      </c>
      <c r="E39" s="213">
        <f>SUM(E36:E38)</f>
        <v>3105778</v>
      </c>
      <c r="F39" s="232"/>
      <c r="G39" s="314"/>
      <c r="H39" s="401"/>
    </row>
    <row r="40" spans="1:8" ht="12.75" customHeight="1">
      <c r="A40" s="551"/>
      <c r="B40" s="552"/>
      <c r="C40" s="210"/>
      <c r="D40" s="207"/>
      <c r="E40" s="207"/>
      <c r="F40" s="232" t="s">
        <v>189</v>
      </c>
      <c r="G40" s="133">
        <v>13573</v>
      </c>
      <c r="H40" s="401">
        <v>13573</v>
      </c>
    </row>
    <row r="41" spans="1:8" ht="12.75" customHeight="1">
      <c r="A41" s="535" t="s">
        <v>425</v>
      </c>
      <c r="B41" s="550"/>
      <c r="C41" s="210"/>
      <c r="D41" s="213">
        <v>14000</v>
      </c>
      <c r="E41" s="213">
        <v>18587</v>
      </c>
      <c r="F41" s="247" t="s">
        <v>150</v>
      </c>
      <c r="G41" s="315">
        <f>SUM(G40)</f>
        <v>13573</v>
      </c>
      <c r="H41" s="473">
        <f>SUM(H40)</f>
        <v>13573</v>
      </c>
    </row>
    <row r="42" spans="1:8" ht="12.75" customHeight="1">
      <c r="A42" s="221"/>
      <c r="B42" s="163"/>
      <c r="C42" s="210"/>
      <c r="D42" s="213"/>
      <c r="E42" s="213"/>
      <c r="F42" s="232"/>
      <c r="G42" s="232"/>
      <c r="H42" s="250"/>
    </row>
    <row r="43" spans="1:8" ht="24.75" customHeight="1">
      <c r="A43" s="542" t="s">
        <v>426</v>
      </c>
      <c r="B43" s="536"/>
      <c r="C43" s="210"/>
      <c r="D43" s="220">
        <v>1850000</v>
      </c>
      <c r="E43" s="220">
        <v>2446207</v>
      </c>
      <c r="F43" s="185"/>
      <c r="G43" s="315"/>
      <c r="H43" s="401"/>
    </row>
    <row r="44" spans="1:8" ht="12.75" customHeight="1">
      <c r="A44" s="221"/>
      <c r="B44" s="219"/>
      <c r="C44" s="210"/>
      <c r="D44" s="220"/>
      <c r="E44" s="220"/>
      <c r="F44" s="247"/>
      <c r="G44" s="315"/>
      <c r="H44" s="401"/>
    </row>
    <row r="45" spans="1:8" ht="12.75" customHeight="1">
      <c r="A45" s="533" t="s">
        <v>151</v>
      </c>
      <c r="B45" s="534"/>
      <c r="C45" s="210"/>
      <c r="D45" s="220">
        <f>SUM(D18+D27+D34+D39+D41+D43)</f>
        <v>9304572</v>
      </c>
      <c r="E45" s="220">
        <f>SUM(E18+E27+E34+E39+E41+E43)</f>
        <v>9835384</v>
      </c>
      <c r="F45" s="247"/>
      <c r="G45" s="315"/>
      <c r="H45" s="401"/>
    </row>
    <row r="46" spans="1:8" ht="13.5" customHeight="1">
      <c r="A46" s="187"/>
      <c r="B46" s="222"/>
      <c r="C46" s="210"/>
      <c r="D46" s="213"/>
      <c r="E46" s="213"/>
      <c r="F46" s="232"/>
      <c r="G46" s="314"/>
      <c r="H46" s="401"/>
    </row>
    <row r="47" spans="1:8" ht="12.75">
      <c r="A47" s="221" t="s">
        <v>186</v>
      </c>
      <c r="B47" s="163"/>
      <c r="C47" s="210"/>
      <c r="D47" s="223">
        <v>0</v>
      </c>
      <c r="E47" s="223">
        <v>0</v>
      </c>
      <c r="F47" s="232"/>
      <c r="G47" s="319"/>
      <c r="H47" s="250"/>
    </row>
    <row r="48" spans="1:8" ht="12.75" customHeight="1" thickBot="1">
      <c r="A48" s="224" t="s">
        <v>185</v>
      </c>
      <c r="B48" s="227"/>
      <c r="C48" s="228"/>
      <c r="D48" s="229">
        <f>SUM(D45+D47)</f>
        <v>9304572</v>
      </c>
      <c r="E48" s="229">
        <f>SUM(E45+E47)</f>
        <v>9835384</v>
      </c>
      <c r="F48" s="233" t="s">
        <v>184</v>
      </c>
      <c r="G48" s="320">
        <f>SUM(G38+G40)</f>
        <v>9304572</v>
      </c>
      <c r="H48" s="476">
        <f>SUM(H38+H40)</f>
        <v>9835384</v>
      </c>
    </row>
    <row r="49" spans="1:6" ht="13.5" thickTop="1">
      <c r="A49" s="8"/>
      <c r="B49" s="7"/>
      <c r="C49" s="8"/>
      <c r="D49" s="225"/>
      <c r="E49" s="225"/>
      <c r="F49" s="8"/>
    </row>
  </sheetData>
  <mergeCells count="13">
    <mergeCell ref="A43:B43"/>
    <mergeCell ref="A28:B28"/>
    <mergeCell ref="A45:B45"/>
    <mergeCell ref="A27:B27"/>
    <mergeCell ref="A34:B34"/>
    <mergeCell ref="A41:B41"/>
    <mergeCell ref="A31:B31"/>
    <mergeCell ref="A40:B40"/>
    <mergeCell ref="A2:H2"/>
    <mergeCell ref="A19:B19"/>
    <mergeCell ref="A18:B18"/>
    <mergeCell ref="A4:E4"/>
    <mergeCell ref="F4:H4"/>
  </mergeCells>
  <printOptions horizontalCentered="1"/>
  <pageMargins left="0" right="0" top="0.2755905511811024" bottom="0.31496062992125984" header="0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2"/>
  <sheetViews>
    <sheetView zoomScaleSheetLayoutView="100" workbookViewId="0" topLeftCell="A1">
      <selection activeCell="C25" sqref="C25"/>
    </sheetView>
  </sheetViews>
  <sheetFormatPr defaultColWidth="9.00390625" defaultRowHeight="12.75"/>
  <cols>
    <col min="1" max="1" width="86.125" style="0" customWidth="1"/>
    <col min="2" max="3" width="10.75390625" style="0" customWidth="1"/>
  </cols>
  <sheetData>
    <row r="1" spans="1:2" ht="12.75">
      <c r="A1" s="24" t="s">
        <v>134</v>
      </c>
      <c r="B1" s="4"/>
    </row>
    <row r="2" spans="1:3" ht="15.75">
      <c r="A2" s="625" t="s">
        <v>416</v>
      </c>
      <c r="B2" s="625"/>
      <c r="C2" s="546"/>
    </row>
    <row r="3" spans="1:2" ht="16.5" thickBot="1">
      <c r="A3" s="147"/>
      <c r="B3" s="4"/>
    </row>
    <row r="4" spans="1:3" ht="12.75" customHeight="1" thickTop="1">
      <c r="A4" s="148" t="s">
        <v>98</v>
      </c>
      <c r="B4" s="310" t="s">
        <v>207</v>
      </c>
      <c r="C4" s="363" t="s">
        <v>700</v>
      </c>
    </row>
    <row r="5" spans="1:3" ht="12.75" customHeight="1">
      <c r="A5" s="149" t="s">
        <v>417</v>
      </c>
      <c r="B5" s="133">
        <v>71000</v>
      </c>
      <c r="C5" s="401">
        <v>71000</v>
      </c>
    </row>
    <row r="6" spans="1:3" ht="12.75" customHeight="1">
      <c r="A6" s="149" t="s">
        <v>421</v>
      </c>
      <c r="B6" s="133">
        <v>15000</v>
      </c>
      <c r="C6" s="401">
        <v>15000</v>
      </c>
    </row>
    <row r="7" spans="1:3" ht="12.75" customHeight="1">
      <c r="A7" s="149" t="s">
        <v>424</v>
      </c>
      <c r="B7" s="133">
        <v>2000</v>
      </c>
      <c r="C7" s="401">
        <v>2000</v>
      </c>
    </row>
    <row r="8" spans="1:3" ht="12.75" customHeight="1">
      <c r="A8" s="149" t="s">
        <v>343</v>
      </c>
      <c r="B8" s="133">
        <v>5000</v>
      </c>
      <c r="C8" s="401">
        <v>5000</v>
      </c>
    </row>
    <row r="9" spans="1:3" ht="12.75" customHeight="1">
      <c r="A9" s="149" t="s">
        <v>428</v>
      </c>
      <c r="B9" s="133">
        <v>5000</v>
      </c>
      <c r="C9" s="401">
        <v>4500</v>
      </c>
    </row>
    <row r="10" spans="1:3" ht="12.75" customHeight="1">
      <c r="A10" s="149" t="s">
        <v>429</v>
      </c>
      <c r="B10" s="133">
        <v>1000</v>
      </c>
      <c r="C10" s="401">
        <v>1000</v>
      </c>
    </row>
    <row r="11" spans="1:3" ht="12.75" customHeight="1">
      <c r="A11" s="149" t="s">
        <v>430</v>
      </c>
      <c r="B11" s="133">
        <v>800</v>
      </c>
      <c r="C11" s="401">
        <v>800</v>
      </c>
    </row>
    <row r="12" spans="1:3" ht="12.75" customHeight="1">
      <c r="A12" s="149" t="s">
        <v>431</v>
      </c>
      <c r="B12" s="133">
        <v>5981</v>
      </c>
      <c r="C12" s="401">
        <v>5981</v>
      </c>
    </row>
    <row r="13" spans="1:3" ht="12.75" customHeight="1">
      <c r="A13" s="149" t="s">
        <v>5</v>
      </c>
      <c r="B13" s="133">
        <v>1500</v>
      </c>
      <c r="C13" s="401">
        <v>1500</v>
      </c>
    </row>
    <row r="14" spans="1:3" ht="12.75" customHeight="1">
      <c r="A14" s="149" t="s">
        <v>137</v>
      </c>
      <c r="B14" s="133">
        <v>6000</v>
      </c>
      <c r="C14" s="401">
        <v>8000</v>
      </c>
    </row>
    <row r="15" spans="1:3" ht="12.75" customHeight="1">
      <c r="A15" s="149" t="s">
        <v>7</v>
      </c>
      <c r="B15" s="133">
        <v>5000</v>
      </c>
      <c r="C15" s="401">
        <v>7000</v>
      </c>
    </row>
    <row r="16" spans="1:3" ht="12.75" customHeight="1">
      <c r="A16" s="149" t="s">
        <v>6</v>
      </c>
      <c r="B16" s="133">
        <v>5000</v>
      </c>
      <c r="C16" s="401">
        <v>5000</v>
      </c>
    </row>
    <row r="17" spans="1:3" ht="12.75" customHeight="1">
      <c r="A17" s="149" t="s">
        <v>138</v>
      </c>
      <c r="B17" s="133">
        <v>500</v>
      </c>
      <c r="C17" s="401">
        <v>500</v>
      </c>
    </row>
    <row r="18" spans="1:3" ht="12.75" customHeight="1">
      <c r="A18" s="149" t="s">
        <v>147</v>
      </c>
      <c r="B18" s="133">
        <v>4000</v>
      </c>
      <c r="C18" s="401">
        <v>4000</v>
      </c>
    </row>
    <row r="19" spans="1:3" ht="12.75" customHeight="1">
      <c r="A19" s="149" t="s">
        <v>8</v>
      </c>
      <c r="B19" s="133">
        <v>1500</v>
      </c>
      <c r="C19" s="401">
        <v>620</v>
      </c>
    </row>
    <row r="20" spans="1:3" ht="12.75" customHeight="1">
      <c r="A20" s="144" t="s">
        <v>139</v>
      </c>
      <c r="B20" s="133">
        <v>1000</v>
      </c>
      <c r="C20" s="401">
        <v>1000</v>
      </c>
    </row>
    <row r="21" spans="1:3" ht="12.75" customHeight="1">
      <c r="A21" s="149" t="s">
        <v>9</v>
      </c>
      <c r="B21" s="133">
        <v>5550</v>
      </c>
      <c r="C21" s="401">
        <v>5550</v>
      </c>
    </row>
    <row r="22" spans="1:3" ht="12.75" customHeight="1">
      <c r="A22" s="149" t="s">
        <v>140</v>
      </c>
      <c r="B22" s="133">
        <v>350</v>
      </c>
      <c r="C22" s="401">
        <v>350</v>
      </c>
    </row>
    <row r="23" spans="1:3" ht="12.75" customHeight="1">
      <c r="A23" s="149" t="s">
        <v>10</v>
      </c>
      <c r="B23" s="133">
        <v>34000</v>
      </c>
      <c r="C23" s="401">
        <v>36772</v>
      </c>
    </row>
    <row r="24" spans="1:3" ht="12.75" customHeight="1">
      <c r="A24" s="149" t="s">
        <v>11</v>
      </c>
      <c r="B24" s="133">
        <v>1000</v>
      </c>
      <c r="C24" s="401">
        <v>1000</v>
      </c>
    </row>
    <row r="25" spans="1:3" ht="12.75" customHeight="1">
      <c r="A25" s="149" t="s">
        <v>107</v>
      </c>
      <c r="B25" s="133">
        <v>1500</v>
      </c>
      <c r="C25" s="401">
        <v>1000</v>
      </c>
    </row>
    <row r="26" spans="1:3" ht="12.75" customHeight="1">
      <c r="A26" s="149" t="s">
        <v>12</v>
      </c>
      <c r="B26" s="133">
        <v>1000</v>
      </c>
      <c r="C26" s="401">
        <v>1000</v>
      </c>
    </row>
    <row r="27" spans="1:3" ht="12.75" customHeight="1">
      <c r="A27" s="149" t="s">
        <v>13</v>
      </c>
      <c r="B27" s="133">
        <v>1000</v>
      </c>
      <c r="C27" s="401">
        <v>1500</v>
      </c>
    </row>
    <row r="28" spans="1:3" ht="12.75" customHeight="1">
      <c r="A28" s="149" t="s">
        <v>106</v>
      </c>
      <c r="B28" s="133">
        <v>1000</v>
      </c>
      <c r="C28" s="401">
        <v>1000</v>
      </c>
    </row>
    <row r="29" spans="1:3" ht="12.75" customHeight="1">
      <c r="A29" s="149" t="s">
        <v>105</v>
      </c>
      <c r="B29" s="133">
        <v>2000</v>
      </c>
      <c r="C29" s="401">
        <v>1700</v>
      </c>
    </row>
    <row r="30" spans="1:3" ht="12.75" customHeight="1">
      <c r="A30" s="149" t="s">
        <v>14</v>
      </c>
      <c r="B30" s="133">
        <v>1500</v>
      </c>
      <c r="C30" s="401">
        <v>430</v>
      </c>
    </row>
    <row r="31" spans="1:3" ht="12.75" customHeight="1">
      <c r="A31" s="149" t="s">
        <v>15</v>
      </c>
      <c r="B31" s="133">
        <v>60000</v>
      </c>
      <c r="C31" s="401">
        <v>60000</v>
      </c>
    </row>
    <row r="32" spans="1:3" ht="12.75" customHeight="1">
      <c r="A32" s="149" t="s">
        <v>110</v>
      </c>
      <c r="B32" s="133">
        <v>300</v>
      </c>
      <c r="C32" s="401">
        <v>300</v>
      </c>
    </row>
    <row r="33" spans="1:3" ht="12.75" customHeight="1">
      <c r="A33" s="149" t="s">
        <v>16</v>
      </c>
      <c r="B33" s="133">
        <v>300</v>
      </c>
      <c r="C33" s="401">
        <v>300</v>
      </c>
    </row>
    <row r="34" spans="1:3" ht="12.75" customHeight="1">
      <c r="A34" s="149" t="s">
        <v>17</v>
      </c>
      <c r="B34" s="133">
        <v>400</v>
      </c>
      <c r="C34" s="401">
        <v>400</v>
      </c>
    </row>
    <row r="35" spans="1:3" ht="12.75" customHeight="1">
      <c r="A35" s="280" t="s">
        <v>524</v>
      </c>
      <c r="B35" s="368">
        <v>6000</v>
      </c>
      <c r="C35" s="401">
        <v>6000</v>
      </c>
    </row>
    <row r="36" spans="1:3" ht="12.75" customHeight="1">
      <c r="A36" s="144" t="s">
        <v>546</v>
      </c>
      <c r="B36" s="133">
        <v>4800</v>
      </c>
      <c r="C36" s="401">
        <v>4800</v>
      </c>
    </row>
    <row r="37" spans="1:3" ht="12.75" customHeight="1">
      <c r="A37" s="404" t="s">
        <v>563</v>
      </c>
      <c r="B37" s="368"/>
      <c r="C37" s="401">
        <v>16</v>
      </c>
    </row>
    <row r="38" spans="1:3" ht="12.75" customHeight="1">
      <c r="A38" s="404" t="s">
        <v>564</v>
      </c>
      <c r="B38" s="368"/>
      <c r="C38" s="401"/>
    </row>
    <row r="39" spans="1:3" ht="12.75" customHeight="1">
      <c r="A39" s="404" t="s">
        <v>565</v>
      </c>
      <c r="B39" s="368"/>
      <c r="C39" s="401">
        <v>100</v>
      </c>
    </row>
    <row r="40" spans="1:3" ht="12.75" customHeight="1">
      <c r="A40" s="404" t="s">
        <v>566</v>
      </c>
      <c r="B40" s="368"/>
      <c r="C40" s="401">
        <v>450</v>
      </c>
    </row>
    <row r="41" spans="1:3" ht="12.75" customHeight="1">
      <c r="A41" s="404" t="s">
        <v>567</v>
      </c>
      <c r="B41" s="368"/>
      <c r="C41" s="401">
        <v>100</v>
      </c>
    </row>
    <row r="42" spans="1:3" ht="12.75" customHeight="1">
      <c r="A42" s="404" t="s">
        <v>568</v>
      </c>
      <c r="B42" s="368"/>
      <c r="C42" s="401">
        <v>260</v>
      </c>
    </row>
    <row r="43" spans="1:3" ht="12.75" customHeight="1">
      <c r="A43" s="404" t="s">
        <v>569</v>
      </c>
      <c r="B43" s="368"/>
      <c r="C43" s="401">
        <v>1000</v>
      </c>
    </row>
    <row r="44" spans="1:3" ht="12.75" customHeight="1">
      <c r="A44" s="404" t="s">
        <v>570</v>
      </c>
      <c r="B44" s="368"/>
      <c r="C44" s="401">
        <v>2100</v>
      </c>
    </row>
    <row r="45" spans="1:3" ht="12.75" customHeight="1">
      <c r="A45" s="404" t="s">
        <v>571</v>
      </c>
      <c r="B45" s="368"/>
      <c r="C45" s="401">
        <v>5000</v>
      </c>
    </row>
    <row r="46" spans="1:3" ht="12.75" customHeight="1">
      <c r="A46" s="404" t="s">
        <v>572</v>
      </c>
      <c r="B46" s="368"/>
      <c r="C46" s="401">
        <v>1500</v>
      </c>
    </row>
    <row r="47" spans="1:3" ht="12.75" customHeight="1">
      <c r="A47" s="404" t="s">
        <v>573</v>
      </c>
      <c r="B47" s="368"/>
      <c r="C47" s="401">
        <v>1200</v>
      </c>
    </row>
    <row r="48" spans="1:3" ht="12.75" customHeight="1">
      <c r="A48" s="404" t="s">
        <v>574</v>
      </c>
      <c r="B48" s="368"/>
      <c r="C48" s="401">
        <v>3000</v>
      </c>
    </row>
    <row r="49" spans="1:3" ht="12.75" customHeight="1">
      <c r="A49" s="404" t="s">
        <v>575</v>
      </c>
      <c r="B49" s="368"/>
      <c r="C49" s="401">
        <v>1000</v>
      </c>
    </row>
    <row r="50" spans="1:3" ht="12.75" customHeight="1">
      <c r="A50" s="404" t="s">
        <v>576</v>
      </c>
      <c r="B50" s="368"/>
      <c r="C50" s="401">
        <v>500</v>
      </c>
    </row>
    <row r="51" spans="1:3" ht="12.75" customHeight="1">
      <c r="A51" s="404" t="s">
        <v>577</v>
      </c>
      <c r="B51" s="368"/>
      <c r="C51" s="401">
        <v>500</v>
      </c>
    </row>
    <row r="52" spans="1:3" ht="12.75" customHeight="1">
      <c r="A52" s="255" t="s">
        <v>261</v>
      </c>
      <c r="B52" s="369">
        <f>SUM(B5:B36)</f>
        <v>250981</v>
      </c>
      <c r="C52" s="398">
        <f>SUM(C5:C51)</f>
        <v>271729</v>
      </c>
    </row>
    <row r="53" spans="1:3" ht="12.75" customHeight="1">
      <c r="A53" s="42"/>
      <c r="B53" s="370"/>
      <c r="C53" s="325"/>
    </row>
    <row r="54" spans="1:3" ht="12.75" customHeight="1">
      <c r="A54" s="42" t="s">
        <v>97</v>
      </c>
      <c r="B54" s="371"/>
      <c r="C54" s="325"/>
    </row>
    <row r="55" spans="1:3" ht="12.75" customHeight="1">
      <c r="A55" s="149" t="s">
        <v>418</v>
      </c>
      <c r="B55" s="133">
        <v>8265</v>
      </c>
      <c r="C55" s="401">
        <v>8265</v>
      </c>
    </row>
    <row r="56" spans="1:3" ht="12.75" customHeight="1">
      <c r="A56" s="149" t="s">
        <v>419</v>
      </c>
      <c r="B56" s="133">
        <v>29264</v>
      </c>
      <c r="C56" s="401">
        <v>29264</v>
      </c>
    </row>
    <row r="57" spans="1:3" ht="12.75" customHeight="1">
      <c r="A57" s="149" t="s">
        <v>420</v>
      </c>
      <c r="B57" s="133">
        <v>178545</v>
      </c>
      <c r="C57" s="401">
        <v>178545</v>
      </c>
    </row>
    <row r="58" spans="1:3" ht="12.75" customHeight="1">
      <c r="A58" s="149" t="s">
        <v>422</v>
      </c>
      <c r="B58" s="133">
        <v>45000</v>
      </c>
      <c r="C58" s="401">
        <v>45000</v>
      </c>
    </row>
    <row r="59" spans="1:3" ht="12.75" customHeight="1">
      <c r="A59" s="149" t="s">
        <v>423</v>
      </c>
      <c r="B59" s="133">
        <v>2500</v>
      </c>
      <c r="C59" s="401">
        <v>2500</v>
      </c>
    </row>
    <row r="60" spans="1:3" ht="12.75" customHeight="1">
      <c r="A60" s="149" t="s">
        <v>427</v>
      </c>
      <c r="B60" s="133">
        <v>1000</v>
      </c>
      <c r="C60" s="401">
        <v>1000</v>
      </c>
    </row>
    <row r="61" spans="1:3" ht="12.75" customHeight="1">
      <c r="A61" s="149" t="s">
        <v>432</v>
      </c>
      <c r="B61" s="133">
        <v>1352</v>
      </c>
      <c r="C61" s="401">
        <v>1352</v>
      </c>
    </row>
    <row r="62" spans="1:3" ht="12.75" customHeight="1">
      <c r="A62" s="149" t="s">
        <v>433</v>
      </c>
      <c r="B62" s="133">
        <v>684</v>
      </c>
      <c r="C62" s="401">
        <v>684</v>
      </c>
    </row>
    <row r="63" spans="1:3" ht="12.75" customHeight="1">
      <c r="A63" s="149" t="s">
        <v>434</v>
      </c>
      <c r="B63" s="133">
        <v>6267</v>
      </c>
      <c r="C63" s="401">
        <v>6267</v>
      </c>
    </row>
    <row r="64" spans="1:3" ht="12.75" customHeight="1">
      <c r="A64" s="149" t="s">
        <v>523</v>
      </c>
      <c r="B64" s="133">
        <v>55000</v>
      </c>
      <c r="C64" s="401">
        <v>55000</v>
      </c>
    </row>
    <row r="65" spans="1:3" ht="12.75" customHeight="1">
      <c r="A65" s="149" t="s">
        <v>551</v>
      </c>
      <c r="B65" s="133">
        <v>45000</v>
      </c>
      <c r="C65" s="401">
        <v>45000</v>
      </c>
    </row>
    <row r="66" spans="1:3" ht="12.75" customHeight="1">
      <c r="A66" s="149" t="s">
        <v>578</v>
      </c>
      <c r="B66" s="133"/>
      <c r="C66" s="401">
        <v>248</v>
      </c>
    </row>
    <row r="67" spans="1:3" ht="12.75" customHeight="1">
      <c r="A67" s="149" t="s">
        <v>579</v>
      </c>
      <c r="B67" s="133"/>
      <c r="C67" s="401">
        <v>30</v>
      </c>
    </row>
    <row r="68" spans="1:3" ht="12.75" customHeight="1">
      <c r="A68" s="149" t="s">
        <v>580</v>
      </c>
      <c r="B68" s="133"/>
      <c r="C68" s="401">
        <v>12000</v>
      </c>
    </row>
    <row r="69" spans="1:3" ht="12.75" customHeight="1">
      <c r="A69" s="150" t="s">
        <v>261</v>
      </c>
      <c r="B69" s="370">
        <f>SUM(B55:B65)</f>
        <v>372877</v>
      </c>
      <c r="C69" s="398">
        <f>SUM(C55:C68)</f>
        <v>385155</v>
      </c>
    </row>
    <row r="70" spans="1:3" ht="12.75" customHeight="1">
      <c r="A70" s="150"/>
      <c r="B70" s="133"/>
      <c r="C70" s="325"/>
    </row>
    <row r="71" spans="1:3" ht="12.75" customHeight="1" thickBot="1">
      <c r="A71" s="151" t="s">
        <v>217</v>
      </c>
      <c r="B71" s="324">
        <f>B52+B69</f>
        <v>623858</v>
      </c>
      <c r="C71" s="399">
        <f>SUM(C52+C69)</f>
        <v>656884</v>
      </c>
    </row>
    <row r="72" spans="1:2" ht="13.5" thickTop="1">
      <c r="A72" s="4"/>
      <c r="B72" s="4"/>
    </row>
  </sheetData>
  <mergeCells count="1">
    <mergeCell ref="A2:C2"/>
  </mergeCells>
  <printOptions horizontalCentered="1"/>
  <pageMargins left="0.2362204724409449" right="0.2362204724409449" top="0.7874015748031497" bottom="0.2362204724409449" header="0.2362204724409449" footer="0.2362204724409449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C9" sqref="C9"/>
    </sheetView>
  </sheetViews>
  <sheetFormatPr defaultColWidth="9.00390625" defaultRowHeight="12.75"/>
  <cols>
    <col min="1" max="1" width="67.25390625" style="0" customWidth="1"/>
    <col min="2" max="2" width="10.75390625" style="0" customWidth="1"/>
    <col min="3" max="3" width="10.875" style="0" customWidth="1"/>
  </cols>
  <sheetData>
    <row r="1" spans="1:2" ht="12.75">
      <c r="A1" s="24" t="s">
        <v>356</v>
      </c>
      <c r="B1" s="4"/>
    </row>
    <row r="2" spans="1:2" ht="12.75">
      <c r="A2" s="123"/>
      <c r="B2" s="4"/>
    </row>
    <row r="3" spans="1:2" ht="12.75">
      <c r="A3" s="123"/>
      <c r="B3" s="4"/>
    </row>
    <row r="4" spans="1:2" ht="12.75">
      <c r="A4" s="626" t="s">
        <v>321</v>
      </c>
      <c r="B4" s="546"/>
    </row>
    <row r="5" spans="1:2" ht="12.75">
      <c r="A5" s="626" t="s">
        <v>99</v>
      </c>
      <c r="B5" s="546"/>
    </row>
    <row r="6" spans="1:2" ht="12.75">
      <c r="A6" s="627" t="s">
        <v>415</v>
      </c>
      <c r="B6" s="546"/>
    </row>
    <row r="7" spans="1:2" ht="12.75">
      <c r="A7" s="152"/>
      <c r="B7" s="122"/>
    </row>
    <row r="8" spans="1:2" ht="13.5" thickBot="1">
      <c r="A8" s="152"/>
      <c r="B8" s="4"/>
    </row>
    <row r="9" spans="1:3" ht="12.75" customHeight="1" thickTop="1">
      <c r="A9" s="153"/>
      <c r="B9" s="374" t="s">
        <v>207</v>
      </c>
      <c r="C9" s="363" t="s">
        <v>700</v>
      </c>
    </row>
    <row r="10" spans="1:3" ht="12.75" customHeight="1">
      <c r="A10" s="25" t="s">
        <v>322</v>
      </c>
      <c r="B10" s="319"/>
      <c r="C10" s="373"/>
    </row>
    <row r="11" spans="1:3" ht="12.75" customHeight="1">
      <c r="A11" s="10" t="s">
        <v>401</v>
      </c>
      <c r="B11" s="133">
        <v>17100</v>
      </c>
      <c r="C11" s="439">
        <v>17100</v>
      </c>
    </row>
    <row r="12" spans="1:3" ht="12.75" customHeight="1">
      <c r="A12" s="10" t="s">
        <v>402</v>
      </c>
      <c r="B12" s="133">
        <v>8000</v>
      </c>
      <c r="C12" s="439">
        <v>8000</v>
      </c>
    </row>
    <row r="13" spans="1:3" ht="12.75" customHeight="1">
      <c r="A13" s="10" t="s">
        <v>403</v>
      </c>
      <c r="B13" s="133">
        <v>1500</v>
      </c>
      <c r="C13" s="439">
        <v>1500</v>
      </c>
    </row>
    <row r="14" spans="1:3" ht="12.75" customHeight="1">
      <c r="A14" s="10" t="s">
        <v>404</v>
      </c>
      <c r="B14" s="133">
        <v>56000</v>
      </c>
      <c r="C14" s="439">
        <v>56000</v>
      </c>
    </row>
    <row r="15" spans="1:3" ht="12.75" customHeight="1">
      <c r="A15" s="10" t="s">
        <v>522</v>
      </c>
      <c r="B15" s="133">
        <v>30366</v>
      </c>
      <c r="C15" s="439">
        <v>30366</v>
      </c>
    </row>
    <row r="16" spans="1:3" ht="12.75" customHeight="1">
      <c r="A16" s="10" t="s">
        <v>473</v>
      </c>
      <c r="B16" s="133">
        <v>1900</v>
      </c>
      <c r="C16" s="439">
        <v>1900</v>
      </c>
    </row>
    <row r="17" spans="1:3" ht="12.75" customHeight="1">
      <c r="A17" s="10" t="s">
        <v>474</v>
      </c>
      <c r="B17" s="133">
        <v>17002</v>
      </c>
      <c r="C17" s="439">
        <v>17002</v>
      </c>
    </row>
    <row r="18" spans="1:3" ht="12.75" customHeight="1">
      <c r="A18" s="10" t="s">
        <v>475</v>
      </c>
      <c r="B18" s="133">
        <v>8000</v>
      </c>
      <c r="C18" s="439">
        <v>8000</v>
      </c>
    </row>
    <row r="19" spans="1:3" ht="12.75" customHeight="1">
      <c r="A19" s="155" t="s">
        <v>620</v>
      </c>
      <c r="B19" s="133"/>
      <c r="C19" s="439">
        <v>4884</v>
      </c>
    </row>
    <row r="20" spans="1:3" ht="12.75" customHeight="1">
      <c r="A20" s="155" t="s">
        <v>619</v>
      </c>
      <c r="B20" s="133"/>
      <c r="C20" s="439">
        <v>1250</v>
      </c>
    </row>
    <row r="21" spans="1:3" ht="12.75" customHeight="1">
      <c r="A21" s="154" t="s">
        <v>261</v>
      </c>
      <c r="B21" s="372">
        <f>SUM(B11:B20)</f>
        <v>139868</v>
      </c>
      <c r="C21" s="440">
        <f>SUM(C11:C20)</f>
        <v>146002</v>
      </c>
    </row>
    <row r="22" spans="1:3" ht="12.75" customHeight="1">
      <c r="A22" s="10"/>
      <c r="B22" s="133"/>
      <c r="C22" s="439"/>
    </row>
    <row r="23" spans="1:3" ht="12.75" customHeight="1">
      <c r="A23" s="25" t="s">
        <v>323</v>
      </c>
      <c r="B23" s="314"/>
      <c r="C23" s="439"/>
    </row>
    <row r="24" spans="1:3" ht="12.75" customHeight="1">
      <c r="A24" s="155" t="s">
        <v>405</v>
      </c>
      <c r="B24" s="133">
        <v>142597</v>
      </c>
      <c r="C24" s="439">
        <v>92688</v>
      </c>
    </row>
    <row r="25" spans="1:3" ht="12.75" customHeight="1">
      <c r="A25" s="155" t="s">
        <v>310</v>
      </c>
      <c r="B25" s="133">
        <v>238476</v>
      </c>
      <c r="C25" s="439">
        <v>155009</v>
      </c>
    </row>
    <row r="26" spans="1:3" ht="12.75" customHeight="1">
      <c r="A26" s="155" t="s">
        <v>406</v>
      </c>
      <c r="B26" s="133">
        <v>534622</v>
      </c>
      <c r="C26" s="439">
        <v>367236</v>
      </c>
    </row>
    <row r="27" spans="1:3" ht="12.75" customHeight="1">
      <c r="A27" s="155" t="s">
        <v>409</v>
      </c>
      <c r="B27" s="133">
        <v>53582</v>
      </c>
      <c r="C27" s="439">
        <v>53582</v>
      </c>
    </row>
    <row r="28" spans="1:3" ht="12.75" customHeight="1">
      <c r="A28" s="155" t="s">
        <v>407</v>
      </c>
      <c r="B28" s="133">
        <v>179030</v>
      </c>
      <c r="C28" s="439">
        <v>179030</v>
      </c>
    </row>
    <row r="29" spans="1:3" ht="12.75" customHeight="1">
      <c r="A29" s="155" t="s">
        <v>408</v>
      </c>
      <c r="B29" s="133">
        <v>99994</v>
      </c>
      <c r="C29" s="439">
        <v>99994</v>
      </c>
    </row>
    <row r="30" spans="1:3" ht="12.75" customHeight="1">
      <c r="A30" s="155" t="s">
        <v>410</v>
      </c>
      <c r="B30" s="133">
        <v>700000</v>
      </c>
      <c r="C30" s="439">
        <v>700000</v>
      </c>
    </row>
    <row r="31" spans="1:3" ht="12.75" customHeight="1">
      <c r="A31" s="155" t="s">
        <v>411</v>
      </c>
      <c r="B31" s="133">
        <v>315000</v>
      </c>
      <c r="C31" s="439">
        <v>315000</v>
      </c>
    </row>
    <row r="32" spans="1:3" ht="12.75" customHeight="1">
      <c r="A32" s="155" t="s">
        <v>412</v>
      </c>
      <c r="B32" s="133">
        <v>44059</v>
      </c>
      <c r="C32" s="439">
        <v>44059</v>
      </c>
    </row>
    <row r="33" spans="1:3" ht="12.75" customHeight="1">
      <c r="A33" s="155" t="s">
        <v>413</v>
      </c>
      <c r="B33" s="133">
        <v>19997</v>
      </c>
      <c r="C33" s="439">
        <v>14658</v>
      </c>
    </row>
    <row r="34" spans="1:3" ht="12.75" customHeight="1">
      <c r="A34" s="155" t="s">
        <v>414</v>
      </c>
      <c r="B34" s="133">
        <v>30000</v>
      </c>
      <c r="C34" s="439">
        <v>30000</v>
      </c>
    </row>
    <row r="35" spans="1:3" ht="12.75" customHeight="1">
      <c r="A35" s="155" t="s">
        <v>515</v>
      </c>
      <c r="B35" s="133">
        <v>134994</v>
      </c>
      <c r="C35" s="439">
        <v>134994</v>
      </c>
    </row>
    <row r="36" spans="1:3" ht="12.75" customHeight="1">
      <c r="A36" s="155" t="s">
        <v>476</v>
      </c>
      <c r="B36" s="133">
        <v>493</v>
      </c>
      <c r="C36" s="439">
        <v>493</v>
      </c>
    </row>
    <row r="37" spans="1:3" ht="12.75" customHeight="1">
      <c r="A37" s="154" t="s">
        <v>261</v>
      </c>
      <c r="B37" s="372">
        <f>SUM(B24:B36)</f>
        <v>2492844</v>
      </c>
      <c r="C37" s="441">
        <f>SUM(C24:C36)</f>
        <v>2186743</v>
      </c>
    </row>
    <row r="38" spans="1:3" ht="12.75" customHeight="1">
      <c r="A38" s="154"/>
      <c r="B38" s="133"/>
      <c r="C38" s="439"/>
    </row>
    <row r="39" spans="1:3" ht="12.75" customHeight="1">
      <c r="A39" s="25" t="s">
        <v>324</v>
      </c>
      <c r="B39" s="133"/>
      <c r="C39" s="439"/>
    </row>
    <row r="40" spans="1:3" ht="12.75" customHeight="1">
      <c r="A40" s="156" t="s">
        <v>400</v>
      </c>
      <c r="B40" s="133">
        <v>6700</v>
      </c>
      <c r="C40" s="439">
        <v>6700</v>
      </c>
    </row>
    <row r="41" spans="1:3" ht="12.75" customHeight="1">
      <c r="A41" s="154" t="s">
        <v>261</v>
      </c>
      <c r="B41" s="372">
        <f>SUM(B40:B40)</f>
        <v>6700</v>
      </c>
      <c r="C41" s="441">
        <f>SUM(C40)</f>
        <v>6700</v>
      </c>
    </row>
    <row r="42" spans="1:3" ht="12.75" customHeight="1">
      <c r="A42" s="10"/>
      <c r="B42" s="133"/>
      <c r="C42" s="439"/>
    </row>
    <row r="43" spans="1:3" ht="12.75" customHeight="1">
      <c r="A43" s="25" t="s">
        <v>87</v>
      </c>
      <c r="B43" s="133"/>
      <c r="C43" s="439"/>
    </row>
    <row r="44" spans="1:3" ht="12.75" customHeight="1">
      <c r="A44" s="10" t="s">
        <v>399</v>
      </c>
      <c r="B44" s="133">
        <v>2700</v>
      </c>
      <c r="C44" s="439">
        <v>2700</v>
      </c>
    </row>
    <row r="45" spans="1:3" ht="12.75" customHeight="1">
      <c r="A45" s="10" t="s">
        <v>618</v>
      </c>
      <c r="B45" s="133"/>
      <c r="C45" s="439">
        <v>9350</v>
      </c>
    </row>
    <row r="46" spans="1:3" ht="12.75" customHeight="1">
      <c r="A46" s="154" t="s">
        <v>261</v>
      </c>
      <c r="B46" s="372">
        <f>SUM(B44:B45)</f>
        <v>2700</v>
      </c>
      <c r="C46" s="440">
        <f>SUM(C44:C45)</f>
        <v>12050</v>
      </c>
    </row>
    <row r="47" spans="1:3" ht="12.75" customHeight="1">
      <c r="A47" s="10"/>
      <c r="B47" s="133"/>
      <c r="C47" s="439"/>
    </row>
    <row r="48" spans="1:3" ht="12.75" customHeight="1" thickBot="1">
      <c r="A48" s="26" t="s">
        <v>217</v>
      </c>
      <c r="B48" s="324">
        <f>SUM(B21+B37+B41+B46)</f>
        <v>2642112</v>
      </c>
      <c r="C48" s="399">
        <f>SUM(C21+C37+C41+C46)</f>
        <v>2351495</v>
      </c>
    </row>
    <row r="49" spans="1:2" ht="13.5" thickTop="1">
      <c r="A49" s="4"/>
      <c r="B49" s="4"/>
    </row>
  </sheetData>
  <mergeCells count="3">
    <mergeCell ref="A4:B4"/>
    <mergeCell ref="A5:B5"/>
    <mergeCell ref="A6:B6"/>
  </mergeCells>
  <printOptions horizontalCentered="1"/>
  <pageMargins left="0.45" right="0.3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4">
      <selection activeCell="C4" sqref="C4"/>
    </sheetView>
  </sheetViews>
  <sheetFormatPr defaultColWidth="9.00390625" defaultRowHeight="12.75"/>
  <cols>
    <col min="1" max="1" width="54.375" style="118" customWidth="1"/>
    <col min="2" max="3" width="14.75390625" style="118" customWidth="1"/>
    <col min="4" max="16384" width="9.125" style="118" customWidth="1"/>
  </cols>
  <sheetData>
    <row r="1" ht="12.75">
      <c r="A1" s="86" t="s">
        <v>357</v>
      </c>
    </row>
    <row r="2" ht="15.75">
      <c r="A2" s="31"/>
    </row>
    <row r="3" ht="15.75">
      <c r="A3" s="31"/>
    </row>
    <row r="4" spans="1:2" ht="15" customHeight="1">
      <c r="A4" s="632" t="s">
        <v>148</v>
      </c>
      <c r="B4" s="633"/>
    </row>
    <row r="5" spans="1:2" ht="15">
      <c r="A5" s="634"/>
      <c r="B5" s="635"/>
    </row>
    <row r="6" spans="1:2" ht="15">
      <c r="A6" s="67"/>
      <c r="B6" s="119"/>
    </row>
    <row r="7" spans="1:2" ht="14.25" customHeight="1" thickBot="1">
      <c r="A7" s="87"/>
      <c r="B7" s="119"/>
    </row>
    <row r="8" spans="1:3" ht="22.5" customHeight="1" thickTop="1">
      <c r="A8" s="636" t="s">
        <v>295</v>
      </c>
      <c r="B8" s="561" t="s">
        <v>296</v>
      </c>
      <c r="C8" s="541"/>
    </row>
    <row r="9" spans="1:3" ht="15" customHeight="1">
      <c r="A9" s="637"/>
      <c r="B9" s="375" t="s">
        <v>206</v>
      </c>
      <c r="C9" s="376" t="s">
        <v>700</v>
      </c>
    </row>
    <row r="10" spans="1:3" ht="15" customHeight="1">
      <c r="A10" s="88" t="s">
        <v>272</v>
      </c>
      <c r="B10" s="442">
        <v>20</v>
      </c>
      <c r="C10" s="443">
        <v>20</v>
      </c>
    </row>
    <row r="11" spans="1:3" ht="15" customHeight="1">
      <c r="A11" s="88" t="s">
        <v>273</v>
      </c>
      <c r="B11" s="442">
        <v>14</v>
      </c>
      <c r="C11" s="443">
        <v>14</v>
      </c>
    </row>
    <row r="12" spans="1:3" ht="15" customHeight="1">
      <c r="A12" s="88" t="s">
        <v>178</v>
      </c>
      <c r="B12" s="442">
        <v>7</v>
      </c>
      <c r="C12" s="443">
        <v>7</v>
      </c>
    </row>
    <row r="13" spans="1:3" ht="15" customHeight="1">
      <c r="A13" s="88" t="s">
        <v>274</v>
      </c>
      <c r="B13" s="442">
        <v>10</v>
      </c>
      <c r="C13" s="443">
        <v>10</v>
      </c>
    </row>
    <row r="14" spans="1:3" ht="15" customHeight="1">
      <c r="A14" s="88" t="s">
        <v>275</v>
      </c>
      <c r="B14" s="442">
        <v>16.25</v>
      </c>
      <c r="C14" s="443">
        <v>16.25</v>
      </c>
    </row>
    <row r="15" spans="1:3" ht="15" customHeight="1">
      <c r="A15" s="88" t="s">
        <v>297</v>
      </c>
      <c r="B15" s="442">
        <v>9</v>
      </c>
      <c r="C15" s="443">
        <v>11</v>
      </c>
    </row>
    <row r="16" spans="1:3" ht="15" customHeight="1">
      <c r="A16" s="88" t="s">
        <v>276</v>
      </c>
      <c r="B16" s="442">
        <v>15.5</v>
      </c>
      <c r="C16" s="443">
        <v>15.5</v>
      </c>
    </row>
    <row r="17" spans="1:3" ht="15" customHeight="1">
      <c r="A17" s="88" t="s">
        <v>179</v>
      </c>
      <c r="B17" s="442">
        <v>14</v>
      </c>
      <c r="C17" s="443">
        <v>14</v>
      </c>
    </row>
    <row r="18" spans="1:3" ht="15" customHeight="1">
      <c r="A18" s="88" t="s">
        <v>277</v>
      </c>
      <c r="B18" s="442">
        <v>3.5</v>
      </c>
      <c r="C18" s="443">
        <v>3.5</v>
      </c>
    </row>
    <row r="19" spans="1:3" ht="15" customHeight="1">
      <c r="A19" s="88" t="s">
        <v>180</v>
      </c>
      <c r="B19" s="442">
        <v>27</v>
      </c>
      <c r="C19" s="443">
        <v>27</v>
      </c>
    </row>
    <row r="20" spans="1:3" ht="15" customHeight="1">
      <c r="A20" s="88" t="s">
        <v>89</v>
      </c>
      <c r="B20" s="442">
        <v>60.5</v>
      </c>
      <c r="C20" s="443">
        <v>60.5</v>
      </c>
    </row>
    <row r="21" spans="1:3" ht="15" customHeight="1">
      <c r="A21" s="88" t="s">
        <v>155</v>
      </c>
      <c r="B21" s="442">
        <v>22</v>
      </c>
      <c r="C21" s="443">
        <v>22</v>
      </c>
    </row>
    <row r="22" spans="1:3" ht="15" customHeight="1">
      <c r="A22" s="88" t="s">
        <v>298</v>
      </c>
      <c r="B22" s="442">
        <v>77.5</v>
      </c>
      <c r="C22" s="443">
        <v>77.5</v>
      </c>
    </row>
    <row r="23" spans="1:3" ht="15" customHeight="1">
      <c r="A23" s="88" t="s">
        <v>299</v>
      </c>
      <c r="B23" s="442">
        <v>20</v>
      </c>
      <c r="C23" s="443">
        <v>20</v>
      </c>
    </row>
    <row r="24" spans="1:3" ht="15" customHeight="1">
      <c r="A24" s="88" t="s">
        <v>306</v>
      </c>
      <c r="B24" s="442">
        <v>13</v>
      </c>
      <c r="C24" s="443">
        <v>13</v>
      </c>
    </row>
    <row r="25" spans="1:3" ht="15" customHeight="1">
      <c r="A25" s="88" t="s">
        <v>90</v>
      </c>
      <c r="B25" s="442">
        <v>22</v>
      </c>
      <c r="C25" s="443">
        <v>22</v>
      </c>
    </row>
    <row r="26" spans="1:3" ht="15.75" customHeight="1">
      <c r="A26" s="88" t="s">
        <v>300</v>
      </c>
      <c r="B26" s="442">
        <v>9.5</v>
      </c>
      <c r="C26" s="443">
        <v>9.5</v>
      </c>
    </row>
    <row r="27" spans="1:3" ht="15" customHeight="1">
      <c r="A27" s="89" t="s">
        <v>305</v>
      </c>
      <c r="B27" s="444">
        <v>52.5</v>
      </c>
      <c r="C27" s="443">
        <v>53.5</v>
      </c>
    </row>
    <row r="28" spans="1:3" ht="15" customHeight="1">
      <c r="A28" s="88" t="s">
        <v>95</v>
      </c>
      <c r="B28" s="442">
        <v>10</v>
      </c>
      <c r="C28" s="443">
        <v>10</v>
      </c>
    </row>
    <row r="29" spans="1:3" ht="15" customHeight="1">
      <c r="A29" s="90" t="s">
        <v>301</v>
      </c>
      <c r="B29" s="445">
        <f>SUM(B10:B28)</f>
        <v>423.25</v>
      </c>
      <c r="C29" s="452">
        <f>SUM(C10:C28)</f>
        <v>426.25</v>
      </c>
    </row>
    <row r="30" spans="1:3" ht="15" customHeight="1" thickBot="1">
      <c r="A30" s="120" t="s">
        <v>204</v>
      </c>
      <c r="B30" s="446">
        <v>200</v>
      </c>
      <c r="C30" s="447">
        <v>200</v>
      </c>
    </row>
    <row r="31" spans="1:3" ht="15" customHeight="1">
      <c r="A31" s="91" t="s">
        <v>302</v>
      </c>
      <c r="B31" s="448">
        <f>SUM(B29:B30)</f>
        <v>623.25</v>
      </c>
      <c r="C31" s="453">
        <f>SUM(C29:C30)</f>
        <v>626.25</v>
      </c>
    </row>
    <row r="32" spans="1:3" ht="15" customHeight="1">
      <c r="A32" s="88"/>
      <c r="B32" s="442"/>
      <c r="C32" s="443"/>
    </row>
    <row r="33" spans="1:3" ht="15" customHeight="1">
      <c r="A33" s="88" t="s">
        <v>19</v>
      </c>
      <c r="B33" s="442"/>
      <c r="C33" s="443"/>
    </row>
    <row r="34" spans="1:3" ht="15" customHeight="1">
      <c r="A34" s="88" t="s">
        <v>18</v>
      </c>
      <c r="B34" s="442">
        <v>96</v>
      </c>
      <c r="C34" s="443">
        <v>96</v>
      </c>
    </row>
    <row r="35" spans="1:3" ht="15" customHeight="1">
      <c r="A35" s="88" t="s">
        <v>303</v>
      </c>
      <c r="B35" s="444">
        <v>3</v>
      </c>
      <c r="C35" s="443">
        <v>3</v>
      </c>
    </row>
    <row r="36" spans="1:3" ht="15" customHeight="1" thickBot="1">
      <c r="A36" s="88" t="s">
        <v>304</v>
      </c>
      <c r="B36" s="449">
        <v>4</v>
      </c>
      <c r="C36" s="447">
        <v>4</v>
      </c>
    </row>
    <row r="37" spans="1:3" s="162" customFormat="1" ht="15" customHeight="1">
      <c r="A37" s="161" t="s">
        <v>261</v>
      </c>
      <c r="B37" s="450">
        <f>SUM(B33:B36)</f>
        <v>103</v>
      </c>
      <c r="C37" s="454">
        <f>SUM(C33:C36)</f>
        <v>103</v>
      </c>
    </row>
    <row r="38" spans="1:3" ht="15" customHeight="1" thickBot="1">
      <c r="A38" s="88"/>
      <c r="B38" s="449"/>
      <c r="C38" s="447"/>
    </row>
    <row r="39" spans="1:3" ht="15" customHeight="1" thickBot="1">
      <c r="A39" s="92" t="s">
        <v>217</v>
      </c>
      <c r="B39" s="451">
        <f>SUM(B31+B37)</f>
        <v>726.25</v>
      </c>
      <c r="C39" s="455">
        <f>SUM(C31+C37)</f>
        <v>729.25</v>
      </c>
    </row>
    <row r="40" spans="1:2" ht="19.5" thickTop="1">
      <c r="A40" s="93"/>
      <c r="B40" s="121"/>
    </row>
    <row r="41" spans="1:2" ht="14.25">
      <c r="A41" s="628" t="s">
        <v>1</v>
      </c>
      <c r="B41" s="628"/>
    </row>
    <row r="42" ht="13.5" thickBot="1"/>
    <row r="43" spans="1:3" ht="13.5" thickTop="1">
      <c r="A43" s="630" t="s">
        <v>267</v>
      </c>
      <c r="B43" s="629" t="s">
        <v>4</v>
      </c>
      <c r="C43" s="541"/>
    </row>
    <row r="44" spans="1:3" ht="12.75">
      <c r="A44" s="631"/>
      <c r="B44" s="357" t="s">
        <v>206</v>
      </c>
      <c r="C44" s="376" t="s">
        <v>700</v>
      </c>
    </row>
    <row r="45" spans="1:3" ht="12.75">
      <c r="A45" s="303" t="s">
        <v>2</v>
      </c>
      <c r="B45" s="456">
        <v>70</v>
      </c>
      <c r="C45" s="305">
        <v>70</v>
      </c>
    </row>
    <row r="46" spans="1:3" ht="13.5" thickBot="1">
      <c r="A46" s="303" t="s">
        <v>3</v>
      </c>
      <c r="B46" s="457">
        <v>15</v>
      </c>
      <c r="C46" s="459">
        <v>15</v>
      </c>
    </row>
    <row r="47" spans="1:3" s="172" customFormat="1" ht="13.5" thickBot="1">
      <c r="A47" s="304" t="s">
        <v>261</v>
      </c>
      <c r="B47" s="458">
        <f>SUM(B45:B46)</f>
        <v>85</v>
      </c>
      <c r="C47" s="460">
        <f>SUM(C45:C46)</f>
        <v>85</v>
      </c>
    </row>
    <row r="48" ht="13.5" thickTop="1"/>
  </sheetData>
  <mergeCells count="7">
    <mergeCell ref="A41:B41"/>
    <mergeCell ref="B43:C43"/>
    <mergeCell ref="A43:A44"/>
    <mergeCell ref="A4:B4"/>
    <mergeCell ref="A5:B5"/>
    <mergeCell ref="A8:A9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2"/>
  <sheetViews>
    <sheetView workbookViewId="0" topLeftCell="A46">
      <selection activeCell="C7" sqref="C7"/>
    </sheetView>
  </sheetViews>
  <sheetFormatPr defaultColWidth="9.00390625" defaultRowHeight="12.75"/>
  <cols>
    <col min="1" max="1" width="86.00390625" style="165" customWidth="1"/>
    <col min="2" max="3" width="13.75390625" style="165" customWidth="1"/>
    <col min="4" max="16384" width="9.125" style="165" customWidth="1"/>
  </cols>
  <sheetData>
    <row r="1" ht="14.25">
      <c r="A1" s="260" t="s">
        <v>581</v>
      </c>
    </row>
    <row r="2" ht="14.25">
      <c r="A2" s="260"/>
    </row>
    <row r="3" spans="1:3" ht="12.75">
      <c r="A3" s="638" t="s">
        <v>358</v>
      </c>
      <c r="B3" s="638"/>
      <c r="C3" s="638"/>
    </row>
    <row r="4" spans="1:3" ht="12.75">
      <c r="A4" s="638" t="s">
        <v>91</v>
      </c>
      <c r="B4" s="638"/>
      <c r="C4" s="638"/>
    </row>
    <row r="5" spans="1:3" ht="12.75">
      <c r="A5" s="638" t="s">
        <v>28</v>
      </c>
      <c r="B5" s="638"/>
      <c r="C5" s="546"/>
    </row>
    <row r="6" ht="13.5" thickBot="1"/>
    <row r="7" spans="1:3" ht="13.5" thickTop="1">
      <c r="A7" s="236" t="s">
        <v>359</v>
      </c>
      <c r="B7" s="377" t="s">
        <v>206</v>
      </c>
      <c r="C7" s="477" t="s">
        <v>700</v>
      </c>
    </row>
    <row r="8" spans="1:3" ht="12.75">
      <c r="A8" s="237" t="s">
        <v>633</v>
      </c>
      <c r="B8" s="378">
        <v>1700000</v>
      </c>
      <c r="C8" s="478">
        <v>1742567</v>
      </c>
    </row>
    <row r="9" spans="1:3" ht="12.75">
      <c r="A9" s="237" t="s">
        <v>634</v>
      </c>
      <c r="B9" s="378"/>
      <c r="C9" s="478">
        <v>100000</v>
      </c>
    </row>
    <row r="10" spans="1:3" ht="12.75">
      <c r="A10" s="237" t="s">
        <v>635</v>
      </c>
      <c r="B10" s="378"/>
      <c r="C10" s="478">
        <v>9447</v>
      </c>
    </row>
    <row r="11" spans="1:3" ht="12.75">
      <c r="A11" s="237" t="s">
        <v>194</v>
      </c>
      <c r="B11" s="378">
        <v>129000</v>
      </c>
      <c r="C11" s="478">
        <v>129000</v>
      </c>
    </row>
    <row r="12" spans="1:3" ht="12.75">
      <c r="A12" s="237" t="s">
        <v>552</v>
      </c>
      <c r="B12" s="378">
        <v>507722</v>
      </c>
      <c r="C12" s="478">
        <v>507722</v>
      </c>
    </row>
    <row r="13" spans="1:3" ht="13.5">
      <c r="A13" s="238" t="s">
        <v>525</v>
      </c>
      <c r="B13" s="379">
        <f>SUM(B14:B25)</f>
        <v>2472354</v>
      </c>
      <c r="C13" s="486">
        <f>SUM(C8:C12)</f>
        <v>2488736</v>
      </c>
    </row>
    <row r="14" spans="1:3" ht="12.75">
      <c r="A14" s="237" t="s">
        <v>526</v>
      </c>
      <c r="B14" s="378">
        <v>142597</v>
      </c>
      <c r="C14" s="478">
        <v>92688</v>
      </c>
    </row>
    <row r="15" spans="1:3" ht="12.75">
      <c r="A15" s="237" t="s">
        <v>527</v>
      </c>
      <c r="B15" s="378">
        <v>238476</v>
      </c>
      <c r="C15" s="480">
        <v>155009</v>
      </c>
    </row>
    <row r="16" spans="1:3" ht="12.75">
      <c r="A16" s="237" t="s">
        <v>528</v>
      </c>
      <c r="B16" s="378">
        <v>534622</v>
      </c>
      <c r="C16" s="478">
        <v>367236</v>
      </c>
    </row>
    <row r="17" spans="1:3" ht="12.75">
      <c r="A17" s="237" t="s">
        <v>529</v>
      </c>
      <c r="B17" s="378">
        <v>53582</v>
      </c>
      <c r="C17" s="478">
        <v>53582</v>
      </c>
    </row>
    <row r="18" spans="1:3" ht="12.75">
      <c r="A18" s="237" t="s">
        <v>530</v>
      </c>
      <c r="B18" s="378">
        <v>179030</v>
      </c>
      <c r="C18" s="478">
        <v>179030</v>
      </c>
    </row>
    <row r="19" spans="1:3" ht="12.75">
      <c r="A19" s="237" t="s">
        <v>531</v>
      </c>
      <c r="B19" s="378">
        <v>99994</v>
      </c>
      <c r="C19" s="478">
        <v>99994</v>
      </c>
    </row>
    <row r="20" spans="1:3" ht="12.75">
      <c r="A20" s="237" t="s">
        <v>532</v>
      </c>
      <c r="B20" s="378">
        <v>700000</v>
      </c>
      <c r="C20" s="478">
        <v>700000</v>
      </c>
    </row>
    <row r="21" spans="1:3" ht="12.75">
      <c r="A21" s="237" t="s">
        <v>533</v>
      </c>
      <c r="B21" s="378">
        <v>315000</v>
      </c>
      <c r="C21" s="478">
        <v>315000</v>
      </c>
    </row>
    <row r="22" spans="1:3" ht="15" customHeight="1">
      <c r="A22" s="237" t="s">
        <v>534</v>
      </c>
      <c r="B22" s="378">
        <v>44059</v>
      </c>
      <c r="C22" s="478">
        <v>44059</v>
      </c>
    </row>
    <row r="23" spans="1:3" ht="12.75">
      <c r="A23" s="237" t="s">
        <v>535</v>
      </c>
      <c r="B23" s="378">
        <v>30000</v>
      </c>
      <c r="C23" s="478">
        <v>30000</v>
      </c>
    </row>
    <row r="24" spans="1:3" ht="12.75">
      <c r="A24" s="237" t="s">
        <v>547</v>
      </c>
      <c r="B24" s="378">
        <v>134994</v>
      </c>
      <c r="C24" s="478">
        <v>134994</v>
      </c>
    </row>
    <row r="25" spans="1:3" ht="12.75">
      <c r="A25" s="237" t="s">
        <v>636</v>
      </c>
      <c r="B25" s="378" t="s">
        <v>537</v>
      </c>
      <c r="C25" s="478">
        <v>300762</v>
      </c>
    </row>
    <row r="26" spans="1:3" ht="12.75">
      <c r="A26" s="241" t="s">
        <v>261</v>
      </c>
      <c r="B26" s="380">
        <f>SUM(B8:B12)+B13</f>
        <v>4809076</v>
      </c>
      <c r="C26" s="479">
        <f>SUM(C13:C25)</f>
        <v>4961090</v>
      </c>
    </row>
    <row r="27" spans="1:3" ht="13.5" thickBot="1">
      <c r="A27" s="296"/>
      <c r="B27" s="381"/>
      <c r="C27" s="393"/>
    </row>
    <row r="28" spans="1:3" ht="15.75" customHeight="1">
      <c r="A28" s="297" t="s">
        <v>543</v>
      </c>
      <c r="B28" s="382" t="s">
        <v>206</v>
      </c>
      <c r="C28" s="392"/>
    </row>
    <row r="29" spans="1:3" ht="15" customHeight="1">
      <c r="A29" s="292"/>
      <c r="B29" s="383"/>
      <c r="C29" s="261"/>
    </row>
    <row r="30" spans="1:3" s="293" customFormat="1" ht="15" customHeight="1">
      <c r="A30" s="300" t="s">
        <v>545</v>
      </c>
      <c r="B30" s="384">
        <v>128930</v>
      </c>
      <c r="C30" s="481">
        <v>128930</v>
      </c>
    </row>
    <row r="31" spans="1:3" ht="15" customHeight="1">
      <c r="A31" s="292"/>
      <c r="B31" s="385"/>
      <c r="C31" s="478"/>
    </row>
    <row r="32" spans="1:3" s="293" customFormat="1" ht="15" customHeight="1">
      <c r="A32" s="300" t="s">
        <v>544</v>
      </c>
      <c r="B32" s="384">
        <v>12000</v>
      </c>
      <c r="C32" s="481">
        <v>12000</v>
      </c>
    </row>
    <row r="33" spans="1:3" ht="15" customHeight="1">
      <c r="A33" s="292"/>
      <c r="B33" s="383"/>
      <c r="C33" s="478"/>
    </row>
    <row r="34" spans="1:3" ht="12.75">
      <c r="A34" s="239" t="s">
        <v>536</v>
      </c>
      <c r="B34" s="380"/>
      <c r="C34" s="478"/>
    </row>
    <row r="35" spans="1:3" ht="12.75">
      <c r="A35" s="237"/>
      <c r="B35" s="386"/>
      <c r="C35" s="478"/>
    </row>
    <row r="36" spans="1:3" ht="12.75">
      <c r="A36" s="239" t="s">
        <v>312</v>
      </c>
      <c r="B36" s="386"/>
      <c r="C36" s="478"/>
    </row>
    <row r="37" spans="1:3" ht="12.75">
      <c r="A37" s="237" t="s">
        <v>58</v>
      </c>
      <c r="B37" s="378">
        <v>15000</v>
      </c>
      <c r="C37" s="478">
        <v>15000</v>
      </c>
    </row>
    <row r="38" spans="1:3" ht="12.75">
      <c r="A38" s="237" t="s">
        <v>59</v>
      </c>
      <c r="B38" s="378">
        <v>442625</v>
      </c>
      <c r="C38" s="478">
        <v>442625</v>
      </c>
    </row>
    <row r="39" spans="1:3" ht="12.75">
      <c r="A39" s="237" t="s">
        <v>60</v>
      </c>
      <c r="B39" s="378">
        <v>534614</v>
      </c>
      <c r="C39" s="478">
        <v>534614</v>
      </c>
    </row>
    <row r="40" spans="1:3" ht="12.75">
      <c r="A40" s="237" t="s">
        <v>61</v>
      </c>
      <c r="B40" s="378">
        <v>674000</v>
      </c>
      <c r="C40" s="478">
        <v>674000</v>
      </c>
    </row>
    <row r="41" spans="1:3" ht="12.75">
      <c r="A41" s="237" t="s">
        <v>62</v>
      </c>
      <c r="B41" s="378">
        <v>85059</v>
      </c>
      <c r="C41" s="478">
        <v>85059</v>
      </c>
    </row>
    <row r="42" spans="1:3" ht="12.75">
      <c r="A42" s="237" t="s">
        <v>63</v>
      </c>
      <c r="B42" s="378">
        <v>413856</v>
      </c>
      <c r="C42" s="478">
        <v>413856</v>
      </c>
    </row>
    <row r="43" spans="1:3" ht="12.75">
      <c r="A43" s="237" t="s">
        <v>64</v>
      </c>
      <c r="B43" s="378">
        <v>125211</v>
      </c>
      <c r="C43" s="478">
        <v>125211</v>
      </c>
    </row>
    <row r="44" spans="1:3" ht="12.75">
      <c r="A44" s="237" t="s">
        <v>65</v>
      </c>
      <c r="B44" s="378">
        <v>933000</v>
      </c>
      <c r="C44" s="478">
        <v>933000</v>
      </c>
    </row>
    <row r="45" spans="1:3" ht="12.75">
      <c r="A45" s="237" t="s">
        <v>66</v>
      </c>
      <c r="B45" s="378">
        <v>418000</v>
      </c>
      <c r="C45" s="478">
        <v>418000</v>
      </c>
    </row>
    <row r="46" spans="1:3" ht="12.75">
      <c r="A46" s="237" t="s">
        <v>67</v>
      </c>
      <c r="B46" s="378">
        <v>48954</v>
      </c>
      <c r="C46" s="478">
        <v>48954</v>
      </c>
    </row>
    <row r="47" spans="1:3" ht="12.75">
      <c r="A47" s="237" t="s">
        <v>71</v>
      </c>
      <c r="B47" s="378">
        <v>220000</v>
      </c>
      <c r="C47" s="478">
        <v>220000</v>
      </c>
    </row>
    <row r="48" spans="1:3" ht="12.75">
      <c r="A48" s="237" t="s">
        <v>72</v>
      </c>
      <c r="B48" s="378">
        <v>8875</v>
      </c>
      <c r="C48" s="478">
        <v>8875</v>
      </c>
    </row>
    <row r="49" spans="1:3" ht="12.75">
      <c r="A49" s="298" t="s">
        <v>73</v>
      </c>
      <c r="B49" s="378">
        <v>1500</v>
      </c>
      <c r="C49" s="478">
        <v>1500</v>
      </c>
    </row>
    <row r="50" spans="1:3" ht="12.75">
      <c r="A50" s="237" t="s">
        <v>74</v>
      </c>
      <c r="B50" s="378">
        <v>6250</v>
      </c>
      <c r="C50" s="478">
        <v>6250</v>
      </c>
    </row>
    <row r="51" spans="1:3" ht="12.75">
      <c r="A51" s="237" t="s">
        <v>75</v>
      </c>
      <c r="B51" s="378">
        <v>1250</v>
      </c>
      <c r="C51" s="478">
        <v>1250</v>
      </c>
    </row>
    <row r="52" spans="1:3" ht="12.75">
      <c r="A52" s="298" t="s">
        <v>68</v>
      </c>
      <c r="B52" s="378">
        <v>7000</v>
      </c>
      <c r="C52" s="478">
        <v>7000</v>
      </c>
    </row>
    <row r="53" spans="1:3" ht="12.75">
      <c r="A53" s="298" t="s">
        <v>69</v>
      </c>
      <c r="B53" s="378">
        <v>15000</v>
      </c>
      <c r="C53" s="478">
        <v>15000</v>
      </c>
    </row>
    <row r="54" spans="1:3" ht="12.75">
      <c r="A54" s="237" t="s">
        <v>70</v>
      </c>
      <c r="B54" s="378">
        <v>149993</v>
      </c>
      <c r="C54" s="478">
        <v>149993</v>
      </c>
    </row>
    <row r="55" spans="1:3" ht="12.75">
      <c r="A55" s="281" t="s">
        <v>261</v>
      </c>
      <c r="B55" s="387">
        <f>SUM(B37:B54)</f>
        <v>4100187</v>
      </c>
      <c r="C55" s="487">
        <f>SUM(C37:C54)</f>
        <v>4100187</v>
      </c>
    </row>
    <row r="56" spans="1:3" ht="12.75">
      <c r="A56" s="237"/>
      <c r="B56" s="386"/>
      <c r="C56" s="478"/>
    </row>
    <row r="57" spans="1:3" ht="12.75">
      <c r="A57" s="239" t="s">
        <v>392</v>
      </c>
      <c r="B57" s="386"/>
      <c r="C57" s="478"/>
    </row>
    <row r="58" spans="1:3" ht="12.75">
      <c r="A58" s="237" t="s">
        <v>692</v>
      </c>
      <c r="B58" s="378">
        <v>15000</v>
      </c>
      <c r="C58" s="478">
        <v>15000</v>
      </c>
    </row>
    <row r="59" spans="1:3" ht="12.75">
      <c r="A59" s="237" t="s">
        <v>687</v>
      </c>
      <c r="B59" s="378" t="s">
        <v>537</v>
      </c>
      <c r="C59" s="478"/>
    </row>
    <row r="60" spans="1:3" ht="12.75">
      <c r="A60" s="237" t="s">
        <v>688</v>
      </c>
      <c r="B60" s="378">
        <v>7500</v>
      </c>
      <c r="C60" s="478">
        <v>7500</v>
      </c>
    </row>
    <row r="61" spans="1:3" ht="12.75">
      <c r="A61" s="237" t="s">
        <v>689</v>
      </c>
      <c r="B61" s="378">
        <v>5000</v>
      </c>
      <c r="C61" s="478">
        <v>5000</v>
      </c>
    </row>
    <row r="62" spans="1:3" ht="12.75">
      <c r="A62" s="237" t="s">
        <v>690</v>
      </c>
      <c r="B62" s="378">
        <v>30000</v>
      </c>
      <c r="C62" s="478">
        <v>30000</v>
      </c>
    </row>
    <row r="63" spans="1:3" ht="12.75">
      <c r="A63" s="290" t="s">
        <v>691</v>
      </c>
      <c r="B63" s="378">
        <v>6250</v>
      </c>
      <c r="C63" s="478">
        <v>6250</v>
      </c>
    </row>
    <row r="64" spans="1:3" ht="12.75">
      <c r="A64" s="237" t="s">
        <v>686</v>
      </c>
      <c r="B64" s="378"/>
      <c r="C64" s="478">
        <v>14500</v>
      </c>
    </row>
    <row r="65" spans="1:3" ht="12.75">
      <c r="A65" s="237" t="s">
        <v>685</v>
      </c>
      <c r="B65" s="378"/>
      <c r="C65" s="478">
        <v>3156</v>
      </c>
    </row>
    <row r="66" spans="1:3" ht="12.75">
      <c r="A66" s="237" t="s">
        <v>684</v>
      </c>
      <c r="B66" s="378"/>
      <c r="C66" s="478">
        <v>100000</v>
      </c>
    </row>
    <row r="67" spans="1:3" ht="12.75">
      <c r="A67" s="290" t="s">
        <v>683</v>
      </c>
      <c r="B67" s="378"/>
      <c r="C67" s="478">
        <v>3308</v>
      </c>
    </row>
    <row r="68" spans="1:3" ht="12.75">
      <c r="A68" s="291" t="s">
        <v>261</v>
      </c>
      <c r="B68" s="388">
        <f>SUM(B58:B66)</f>
        <v>63750</v>
      </c>
      <c r="C68" s="487">
        <f>SUM(C58:C67)</f>
        <v>184714</v>
      </c>
    </row>
    <row r="69" spans="1:3" ht="12.75">
      <c r="A69" s="237" t="s">
        <v>538</v>
      </c>
      <c r="B69" s="389"/>
      <c r="C69" s="478"/>
    </row>
    <row r="70" spans="1:3" s="293" customFormat="1" ht="14.25" thickBot="1">
      <c r="A70" s="396" t="s">
        <v>92</v>
      </c>
      <c r="B70" s="397">
        <f>B55+B68</f>
        <v>4163937</v>
      </c>
      <c r="C70" s="482">
        <f>SUM(C55+C68)</f>
        <v>4284901</v>
      </c>
    </row>
    <row r="71" spans="1:3" ht="13.5" thickTop="1">
      <c r="A71" s="244"/>
      <c r="B71" s="390"/>
      <c r="C71" s="483"/>
    </row>
    <row r="72" spans="1:3" ht="12.75">
      <c r="A72" s="239" t="s">
        <v>539</v>
      </c>
      <c r="B72" s="380"/>
      <c r="C72" s="478"/>
    </row>
    <row r="73" spans="1:3" ht="12.75">
      <c r="A73" s="237"/>
      <c r="B73" s="386"/>
      <c r="C73" s="478"/>
    </row>
    <row r="74" spans="1:3" ht="12.75">
      <c r="A74" s="239" t="s">
        <v>312</v>
      </c>
      <c r="B74" s="386"/>
      <c r="C74" s="478"/>
    </row>
    <row r="75" spans="1:3" ht="12.75">
      <c r="A75" s="298" t="s">
        <v>693</v>
      </c>
      <c r="B75" s="378">
        <v>17000</v>
      </c>
      <c r="C75" s="478">
        <v>17000</v>
      </c>
    </row>
    <row r="76" spans="1:3" ht="12.75">
      <c r="A76" s="237" t="s">
        <v>694</v>
      </c>
      <c r="B76" s="378">
        <v>8650</v>
      </c>
      <c r="C76" s="478">
        <v>8650</v>
      </c>
    </row>
    <row r="77" spans="1:3" ht="12.75">
      <c r="A77" s="237" t="s">
        <v>79</v>
      </c>
      <c r="B77" s="378">
        <v>1465</v>
      </c>
      <c r="C77" s="478">
        <v>1465</v>
      </c>
    </row>
    <row r="78" spans="1:3" ht="12.75">
      <c r="A78" s="237" t="s">
        <v>540</v>
      </c>
      <c r="B78" s="378">
        <v>33962</v>
      </c>
      <c r="C78" s="478">
        <v>30654</v>
      </c>
    </row>
    <row r="79" spans="1:3" ht="12.75">
      <c r="A79" s="237" t="s">
        <v>695</v>
      </c>
      <c r="B79" s="378">
        <v>69791</v>
      </c>
      <c r="C79" s="478">
        <v>69791</v>
      </c>
    </row>
    <row r="80" spans="1:3" ht="12.75">
      <c r="A80" s="237" t="s">
        <v>696</v>
      </c>
      <c r="B80" s="378">
        <v>5000</v>
      </c>
      <c r="C80" s="478">
        <v>5000</v>
      </c>
    </row>
    <row r="81" spans="1:3" ht="12.75">
      <c r="A81" s="281" t="s">
        <v>261</v>
      </c>
      <c r="B81" s="387">
        <f>SUM(B75:B80)</f>
        <v>135868</v>
      </c>
      <c r="C81" s="488">
        <f>SUM(C75:C80)</f>
        <v>132560</v>
      </c>
    </row>
    <row r="82" spans="1:3" ht="12.75">
      <c r="A82" s="281"/>
      <c r="B82" s="387"/>
      <c r="C82" s="478"/>
    </row>
    <row r="83" spans="1:3" ht="12.75">
      <c r="A83" s="239" t="s">
        <v>392</v>
      </c>
      <c r="B83" s="386"/>
      <c r="C83" s="478"/>
    </row>
    <row r="84" spans="1:3" ht="12.75">
      <c r="A84" s="237" t="s">
        <v>521</v>
      </c>
      <c r="B84" s="378">
        <v>1000</v>
      </c>
      <c r="C84" s="478">
        <v>1000</v>
      </c>
    </row>
    <row r="85" spans="1:3" ht="12.75">
      <c r="A85" s="237" t="s">
        <v>682</v>
      </c>
      <c r="B85" s="378"/>
      <c r="C85" s="478">
        <v>192</v>
      </c>
    </row>
    <row r="86" spans="1:3" ht="12.75">
      <c r="A86" s="281" t="s">
        <v>261</v>
      </c>
      <c r="B86" s="387">
        <f>SUM(B84:B85)</f>
        <v>1000</v>
      </c>
      <c r="C86" s="488">
        <f>SUM(C84:C85)</f>
        <v>1192</v>
      </c>
    </row>
    <row r="87" spans="1:3" ht="12.75">
      <c r="A87" s="240"/>
      <c r="B87" s="378"/>
      <c r="C87" s="478"/>
    </row>
    <row r="88" spans="1:3" s="293" customFormat="1" ht="13.5">
      <c r="A88" s="294" t="s">
        <v>93</v>
      </c>
      <c r="B88" s="379">
        <f>B81+B86</f>
        <v>136868</v>
      </c>
      <c r="C88" s="481">
        <f>C81+C86</f>
        <v>133752</v>
      </c>
    </row>
    <row r="89" spans="1:3" ht="12.75">
      <c r="A89" s="240"/>
      <c r="B89" s="484"/>
      <c r="C89" s="478"/>
    </row>
    <row r="90" spans="1:3" ht="12.75">
      <c r="A90" s="394"/>
      <c r="B90" s="395"/>
      <c r="C90" s="478"/>
    </row>
    <row r="91" spans="1:3" ht="12.75">
      <c r="A91" s="239" t="s">
        <v>97</v>
      </c>
      <c r="B91" s="386"/>
      <c r="C91" s="478"/>
    </row>
    <row r="92" spans="1:3" ht="12.75">
      <c r="A92" s="237" t="s">
        <v>553</v>
      </c>
      <c r="B92" s="378">
        <v>8265</v>
      </c>
      <c r="C92" s="478">
        <v>8265</v>
      </c>
    </row>
    <row r="93" spans="1:3" ht="12.75">
      <c r="A93" s="237" t="s">
        <v>554</v>
      </c>
      <c r="B93" s="378">
        <v>29264</v>
      </c>
      <c r="C93" s="478">
        <v>29264</v>
      </c>
    </row>
    <row r="94" spans="1:3" ht="12.75">
      <c r="A94" s="237" t="s">
        <v>555</v>
      </c>
      <c r="B94" s="378">
        <v>178545</v>
      </c>
      <c r="C94" s="478">
        <v>178545</v>
      </c>
    </row>
    <row r="95" spans="1:3" ht="12.75">
      <c r="A95" s="237" t="s">
        <v>556</v>
      </c>
      <c r="B95" s="378">
        <v>45000</v>
      </c>
      <c r="C95" s="478">
        <v>45000</v>
      </c>
    </row>
    <row r="96" spans="1:3" ht="12.75">
      <c r="A96" s="237" t="s">
        <v>557</v>
      </c>
      <c r="B96" s="378">
        <v>6267</v>
      </c>
      <c r="C96" s="478">
        <v>6267</v>
      </c>
    </row>
    <row r="97" spans="1:3" ht="12.75">
      <c r="A97" s="237" t="s">
        <v>523</v>
      </c>
      <c r="B97" s="378">
        <v>55000</v>
      </c>
      <c r="C97" s="478">
        <v>55000</v>
      </c>
    </row>
    <row r="98" spans="1:3" ht="12.75">
      <c r="A98" s="237" t="s">
        <v>637</v>
      </c>
      <c r="B98" s="378">
        <v>45000</v>
      </c>
      <c r="C98" s="478">
        <v>45000</v>
      </c>
    </row>
    <row r="99" spans="1:3" ht="12.75">
      <c r="A99" s="237" t="s">
        <v>638</v>
      </c>
      <c r="B99" s="378"/>
      <c r="C99" s="478">
        <v>12000</v>
      </c>
    </row>
    <row r="100" spans="1:3" ht="12.75">
      <c r="A100" s="237" t="s">
        <v>538</v>
      </c>
      <c r="B100" s="378" t="s">
        <v>537</v>
      </c>
      <c r="C100" s="478" t="s">
        <v>537</v>
      </c>
    </row>
    <row r="101" spans="1:3" ht="12.75">
      <c r="A101" s="281" t="s">
        <v>541</v>
      </c>
      <c r="B101" s="387">
        <f>SUM(B92:B100)</f>
        <v>367341</v>
      </c>
      <c r="C101" s="488">
        <f>SUM(C92:C100)</f>
        <v>379341</v>
      </c>
    </row>
    <row r="102" spans="1:3" s="293" customFormat="1" ht="13.5">
      <c r="A102" s="238" t="s">
        <v>307</v>
      </c>
      <c r="B102" s="379">
        <f>SUM(B101)</f>
        <v>367341</v>
      </c>
      <c r="C102" s="481">
        <f>SUM(C101)</f>
        <v>379341</v>
      </c>
    </row>
    <row r="103" spans="1:3" ht="12.75">
      <c r="A103" s="237"/>
      <c r="B103" s="380"/>
      <c r="C103" s="478"/>
    </row>
    <row r="104" spans="1:3" ht="12.75">
      <c r="A104" s="241" t="s">
        <v>639</v>
      </c>
      <c r="B104" s="380"/>
      <c r="C104" s="479">
        <v>22166</v>
      </c>
    </row>
    <row r="105" spans="1:3" ht="12.75">
      <c r="A105" s="237"/>
      <c r="B105" s="386"/>
      <c r="C105" s="479"/>
    </row>
    <row r="106" spans="1:3" ht="12.75">
      <c r="A106" s="241" t="s">
        <v>542</v>
      </c>
      <c r="B106" s="380">
        <f>SUM(B30+B32+B70+B88+B102+B104)</f>
        <v>4809076</v>
      </c>
      <c r="C106" s="479">
        <f>SUM(C30+C32+C70+C88+C102+C104)</f>
        <v>4961090</v>
      </c>
    </row>
    <row r="107" spans="1:3" ht="12.75">
      <c r="A107" s="237"/>
      <c r="B107" s="386"/>
      <c r="C107" s="478"/>
    </row>
    <row r="108" spans="1:3" ht="13.5" thickBot="1">
      <c r="A108" s="295" t="s">
        <v>361</v>
      </c>
      <c r="B108" s="391">
        <f>B26-B106</f>
        <v>0</v>
      </c>
      <c r="C108" s="485">
        <v>0</v>
      </c>
    </row>
    <row r="109" spans="1:2" ht="13.5" thickTop="1">
      <c r="A109" s="282"/>
      <c r="B109" s="283"/>
    </row>
    <row r="110" spans="1:2" ht="12.75">
      <c r="A110" s="183"/>
      <c r="B110" s="183"/>
    </row>
    <row r="111" spans="1:2" ht="12.75">
      <c r="A111" s="284"/>
      <c r="B111" s="183"/>
    </row>
    <row r="112" spans="1:2" ht="12.75">
      <c r="A112" s="183"/>
      <c r="B112" s="285"/>
    </row>
    <row r="113" spans="1:2" ht="12.75">
      <c r="A113" s="183"/>
      <c r="B113" s="285"/>
    </row>
    <row r="114" spans="1:2" ht="12.75">
      <c r="A114" s="183"/>
      <c r="B114" s="285"/>
    </row>
    <row r="115" spans="1:2" ht="12.75">
      <c r="A115" s="183"/>
      <c r="B115" s="285"/>
    </row>
    <row r="116" spans="1:2" ht="12.75">
      <c r="A116" s="183"/>
      <c r="B116" s="285"/>
    </row>
    <row r="117" spans="1:2" ht="12.75">
      <c r="A117" s="183"/>
      <c r="B117" s="285"/>
    </row>
    <row r="118" spans="1:2" ht="12.75">
      <c r="A118" s="183"/>
      <c r="B118" s="285"/>
    </row>
    <row r="119" spans="1:2" ht="12.75">
      <c r="A119" s="183"/>
      <c r="B119" s="285"/>
    </row>
    <row r="120" spans="1:2" ht="12.75">
      <c r="A120" s="183"/>
      <c r="B120" s="285"/>
    </row>
    <row r="121" spans="1:2" ht="12.75">
      <c r="A121" s="183"/>
      <c r="B121" s="285"/>
    </row>
    <row r="122" spans="1:2" s="172" customFormat="1" ht="12.75">
      <c r="A122" s="286"/>
      <c r="B122" s="287"/>
    </row>
    <row r="123" spans="1:2" ht="12.75">
      <c r="A123" s="286"/>
      <c r="B123" s="287"/>
    </row>
    <row r="124" spans="1:2" ht="12.75">
      <c r="A124" s="286"/>
      <c r="B124" s="287"/>
    </row>
    <row r="125" spans="1:2" ht="12.75">
      <c r="A125" s="286"/>
      <c r="B125" s="287"/>
    </row>
    <row r="126" spans="1:2" ht="12.75">
      <c r="A126" s="286"/>
      <c r="B126" s="287"/>
    </row>
    <row r="127" spans="1:2" ht="12.75">
      <c r="A127" s="183"/>
      <c r="B127" s="183"/>
    </row>
    <row r="128" spans="1:2" s="172" customFormat="1" ht="12.75">
      <c r="A128" s="286"/>
      <c r="B128" s="286"/>
    </row>
    <row r="129" spans="1:2" ht="12.75">
      <c r="A129" s="183"/>
      <c r="B129" s="183"/>
    </row>
    <row r="130" spans="1:2" ht="13.5">
      <c r="A130" s="288"/>
      <c r="B130" s="289"/>
    </row>
    <row r="131" spans="1:2" ht="12.75">
      <c r="A131" s="183"/>
      <c r="B131" s="183"/>
    </row>
    <row r="132" spans="1:2" ht="13.5">
      <c r="A132" s="288"/>
      <c r="B132" s="289"/>
    </row>
  </sheetData>
  <mergeCells count="3">
    <mergeCell ref="A4:C4"/>
    <mergeCell ref="A3:C3"/>
    <mergeCell ref="A5:C5"/>
  </mergeCells>
  <printOptions/>
  <pageMargins left="0.4" right="0.38" top="0.34" bottom="0.57" header="0.25" footer="0.5"/>
  <pageSetup horizontalDpi="600" verticalDpi="600" orientation="portrait" paperSize="9" scale="85" r:id="rId1"/>
  <rowBreaks count="1" manualBreakCount="1">
    <brk id="7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I22" sqref="I22"/>
    </sheetView>
  </sheetViews>
  <sheetFormatPr defaultColWidth="9.00390625" defaultRowHeight="12.75"/>
  <cols>
    <col min="1" max="5" width="9.125" style="405" customWidth="1"/>
    <col min="6" max="6" width="15.625" style="405" customWidth="1"/>
    <col min="7" max="7" width="10.75390625" style="405" customWidth="1"/>
    <col min="8" max="8" width="13.00390625" style="405" customWidth="1"/>
    <col min="9" max="16384" width="9.125" style="405" customWidth="1"/>
  </cols>
  <sheetData>
    <row r="1" ht="12.75">
      <c r="A1" s="409" t="s">
        <v>591</v>
      </c>
    </row>
    <row r="3" spans="1:8" ht="15.75">
      <c r="A3" s="645" t="s">
        <v>582</v>
      </c>
      <c r="B3" s="645"/>
      <c r="C3" s="645"/>
      <c r="D3" s="645"/>
      <c r="E3" s="645"/>
      <c r="F3" s="645"/>
      <c r="G3" s="645"/>
      <c r="H3" s="546"/>
    </row>
    <row r="4" spans="1:8" ht="15.75">
      <c r="A4" s="645" t="s">
        <v>583</v>
      </c>
      <c r="B4" s="645"/>
      <c r="C4" s="645"/>
      <c r="D4" s="645"/>
      <c r="E4" s="645"/>
      <c r="F4" s="645"/>
      <c r="G4" s="645"/>
      <c r="H4" s="546"/>
    </row>
    <row r="5" spans="1:7" ht="16.5" thickBot="1">
      <c r="A5" s="406"/>
      <c r="B5" s="406"/>
      <c r="C5" s="406"/>
      <c r="D5" s="406"/>
      <c r="E5" s="407" t="s">
        <v>537</v>
      </c>
      <c r="F5" s="406"/>
      <c r="G5" s="406"/>
    </row>
    <row r="6" spans="1:8" ht="19.5" customHeight="1" thickBot="1" thickTop="1">
      <c r="A6" s="644" t="s">
        <v>584</v>
      </c>
      <c r="B6" s="644"/>
      <c r="C6" s="644"/>
      <c r="D6" s="644"/>
      <c r="E6" s="644"/>
      <c r="F6" s="644"/>
      <c r="G6" s="494" t="s">
        <v>206</v>
      </c>
      <c r="H6" s="489" t="s">
        <v>700</v>
      </c>
    </row>
    <row r="7" spans="1:8" s="409" customFormat="1" ht="15.75">
      <c r="A7" s="639" t="s">
        <v>585</v>
      </c>
      <c r="B7" s="639"/>
      <c r="C7" s="639"/>
      <c r="D7" s="639"/>
      <c r="E7" s="639"/>
      <c r="F7" s="639"/>
      <c r="G7" s="495">
        <v>566</v>
      </c>
      <c r="H7" s="490">
        <v>1183</v>
      </c>
    </row>
    <row r="8" spans="1:8" ht="15.75">
      <c r="A8" s="641" t="s">
        <v>586</v>
      </c>
      <c r="B8" s="641"/>
      <c r="C8" s="641"/>
      <c r="D8" s="641"/>
      <c r="E8" s="641"/>
      <c r="F8" s="641"/>
      <c r="G8" s="496">
        <f>SUM(G7:G7)</f>
        <v>566</v>
      </c>
      <c r="H8" s="491">
        <f>SUM(H7:H7)</f>
        <v>1183</v>
      </c>
    </row>
    <row r="9" spans="1:8" ht="15.75">
      <c r="A9" s="642" t="s">
        <v>587</v>
      </c>
      <c r="B9" s="642"/>
      <c r="C9" s="642"/>
      <c r="D9" s="642"/>
      <c r="E9" s="642"/>
      <c r="F9" s="642"/>
      <c r="G9" s="497">
        <v>566</v>
      </c>
      <c r="H9" s="492">
        <v>1183</v>
      </c>
    </row>
    <row r="10" spans="1:8" ht="16.5" thickBot="1">
      <c r="A10" s="643" t="s">
        <v>588</v>
      </c>
      <c r="B10" s="643"/>
      <c r="C10" s="643"/>
      <c r="D10" s="643"/>
      <c r="E10" s="643"/>
      <c r="F10" s="643"/>
      <c r="G10" s="498">
        <v>566</v>
      </c>
      <c r="H10" s="493">
        <v>1183</v>
      </c>
    </row>
    <row r="11" spans="1:8" ht="16.5" thickTop="1">
      <c r="A11" s="410"/>
      <c r="B11" s="410"/>
      <c r="C11" s="410"/>
      <c r="D11" s="410"/>
      <c r="E11" s="410"/>
      <c r="F11" s="410"/>
      <c r="G11" s="410"/>
      <c r="H11" s="408"/>
    </row>
    <row r="12" spans="1:7" ht="15.75">
      <c r="A12" s="406"/>
      <c r="B12" s="406"/>
      <c r="C12" s="406"/>
      <c r="D12" s="406"/>
      <c r="E12" s="406"/>
      <c r="F12" s="406"/>
      <c r="G12" s="406"/>
    </row>
    <row r="13" spans="1:8" ht="15.75">
      <c r="A13" s="645" t="s">
        <v>589</v>
      </c>
      <c r="B13" s="645"/>
      <c r="C13" s="645"/>
      <c r="D13" s="645"/>
      <c r="E13" s="645"/>
      <c r="F13" s="645"/>
      <c r="G13" s="645"/>
      <c r="H13" s="546"/>
    </row>
    <row r="14" spans="1:8" ht="15.75">
      <c r="A14" s="645" t="s">
        <v>583</v>
      </c>
      <c r="B14" s="645"/>
      <c r="C14" s="645"/>
      <c r="D14" s="645"/>
      <c r="E14" s="645"/>
      <c r="F14" s="645"/>
      <c r="G14" s="645"/>
      <c r="H14" s="546"/>
    </row>
    <row r="15" spans="1:7" ht="16.5" thickBot="1">
      <c r="A15" s="406"/>
      <c r="B15" s="406"/>
      <c r="C15" s="406"/>
      <c r="D15" s="406"/>
      <c r="E15" s="407" t="s">
        <v>537</v>
      </c>
      <c r="F15" s="406"/>
      <c r="G15" s="406"/>
    </row>
    <row r="16" spans="1:8" ht="19.5" customHeight="1" thickBot="1" thickTop="1">
      <c r="A16" s="644" t="s">
        <v>584</v>
      </c>
      <c r="B16" s="644"/>
      <c r="C16" s="644"/>
      <c r="D16" s="644"/>
      <c r="E16" s="644"/>
      <c r="F16" s="644"/>
      <c r="G16" s="494" t="s">
        <v>206</v>
      </c>
      <c r="H16" s="489" t="s">
        <v>700</v>
      </c>
    </row>
    <row r="17" spans="1:8" s="409" customFormat="1" ht="15.75">
      <c r="A17" s="639" t="s">
        <v>585</v>
      </c>
      <c r="B17" s="639"/>
      <c r="C17" s="639"/>
      <c r="D17" s="639"/>
      <c r="E17" s="639"/>
      <c r="F17" s="639"/>
      <c r="G17" s="495">
        <v>566</v>
      </c>
      <c r="H17" s="490">
        <v>772</v>
      </c>
    </row>
    <row r="18" spans="1:8" ht="15.75">
      <c r="A18" s="641" t="s">
        <v>586</v>
      </c>
      <c r="B18" s="641"/>
      <c r="C18" s="641"/>
      <c r="D18" s="641"/>
      <c r="E18" s="641"/>
      <c r="F18" s="641"/>
      <c r="G18" s="496">
        <f>SUM(G17:G17)</f>
        <v>566</v>
      </c>
      <c r="H18" s="491">
        <f>SUM(H17:H17)</f>
        <v>772</v>
      </c>
    </row>
    <row r="19" spans="1:8" ht="15.75">
      <c r="A19" s="642" t="s">
        <v>587</v>
      </c>
      <c r="B19" s="642"/>
      <c r="C19" s="642"/>
      <c r="D19" s="642"/>
      <c r="E19" s="642"/>
      <c r="F19" s="642"/>
      <c r="G19" s="497">
        <v>566</v>
      </c>
      <c r="H19" s="492">
        <v>772</v>
      </c>
    </row>
    <row r="20" spans="1:8" ht="16.5" thickBot="1">
      <c r="A20" s="643" t="s">
        <v>588</v>
      </c>
      <c r="B20" s="643"/>
      <c r="C20" s="643"/>
      <c r="D20" s="643"/>
      <c r="E20" s="643"/>
      <c r="F20" s="643"/>
      <c r="G20" s="498">
        <v>566</v>
      </c>
      <c r="H20" s="493">
        <v>772</v>
      </c>
    </row>
    <row r="21" spans="1:7" ht="16.5" thickTop="1">
      <c r="A21" s="406"/>
      <c r="B21" s="406"/>
      <c r="C21" s="406"/>
      <c r="D21" s="406"/>
      <c r="E21" s="406"/>
      <c r="F21" s="406"/>
      <c r="G21" s="406"/>
    </row>
    <row r="22" spans="1:7" ht="15.75">
      <c r="A22" s="406"/>
      <c r="B22" s="406"/>
      <c r="C22" s="406"/>
      <c r="D22" s="406"/>
      <c r="E22" s="406"/>
      <c r="F22" s="406"/>
      <c r="G22" s="406"/>
    </row>
    <row r="23" spans="1:8" ht="15.75">
      <c r="A23" s="645" t="s">
        <v>590</v>
      </c>
      <c r="B23" s="645"/>
      <c r="C23" s="645"/>
      <c r="D23" s="645"/>
      <c r="E23" s="645"/>
      <c r="F23" s="645"/>
      <c r="G23" s="645"/>
      <c r="H23" s="546"/>
    </row>
    <row r="24" spans="1:8" ht="15.75">
      <c r="A24" s="645" t="s">
        <v>583</v>
      </c>
      <c r="B24" s="645"/>
      <c r="C24" s="645"/>
      <c r="D24" s="645"/>
      <c r="E24" s="645"/>
      <c r="F24" s="645"/>
      <c r="G24" s="645"/>
      <c r="H24" s="546"/>
    </row>
    <row r="25" spans="1:7" ht="16.5" thickBot="1">
      <c r="A25" s="406"/>
      <c r="B25" s="406"/>
      <c r="C25" s="406"/>
      <c r="D25" s="406"/>
      <c r="E25" s="407" t="s">
        <v>537</v>
      </c>
      <c r="F25" s="406"/>
      <c r="G25" s="406"/>
    </row>
    <row r="26" spans="1:8" ht="19.5" customHeight="1" thickBot="1" thickTop="1">
      <c r="A26" s="644" t="s">
        <v>584</v>
      </c>
      <c r="B26" s="644"/>
      <c r="C26" s="644"/>
      <c r="D26" s="644"/>
      <c r="E26" s="644"/>
      <c r="F26" s="644"/>
      <c r="G26" s="494" t="s">
        <v>206</v>
      </c>
      <c r="H26" s="489" t="s">
        <v>700</v>
      </c>
    </row>
    <row r="27" spans="1:8" s="409" customFormat="1" ht="15.75">
      <c r="A27" s="639" t="s">
        <v>585</v>
      </c>
      <c r="B27" s="639"/>
      <c r="C27" s="639"/>
      <c r="D27" s="639"/>
      <c r="E27" s="639"/>
      <c r="F27" s="639"/>
      <c r="G27" s="495">
        <v>566</v>
      </c>
      <c r="H27" s="490">
        <v>930</v>
      </c>
    </row>
    <row r="28" spans="1:8" s="409" customFormat="1" ht="15.75">
      <c r="A28" s="642" t="s">
        <v>592</v>
      </c>
      <c r="B28" s="642"/>
      <c r="C28" s="642"/>
      <c r="D28" s="642"/>
      <c r="E28" s="642"/>
      <c r="F28" s="642"/>
      <c r="G28" s="495" t="s">
        <v>537</v>
      </c>
      <c r="H28" s="490">
        <v>30</v>
      </c>
    </row>
    <row r="29" spans="1:8" ht="15.75">
      <c r="A29" s="641" t="s">
        <v>586</v>
      </c>
      <c r="B29" s="641"/>
      <c r="C29" s="641"/>
      <c r="D29" s="641"/>
      <c r="E29" s="641"/>
      <c r="F29" s="641"/>
      <c r="G29" s="496">
        <f>SUM(G27:G28)</f>
        <v>566</v>
      </c>
      <c r="H29" s="491">
        <f>SUM(H27:H28)</f>
        <v>960</v>
      </c>
    </row>
    <row r="30" spans="1:8" ht="15.75">
      <c r="A30" s="642" t="s">
        <v>587</v>
      </c>
      <c r="B30" s="642"/>
      <c r="C30" s="642"/>
      <c r="D30" s="642"/>
      <c r="E30" s="642"/>
      <c r="F30" s="642"/>
      <c r="G30" s="497">
        <v>566</v>
      </c>
      <c r="H30" s="492">
        <v>960</v>
      </c>
    </row>
    <row r="31" spans="1:8" ht="16.5" thickBot="1">
      <c r="A31" s="643" t="s">
        <v>588</v>
      </c>
      <c r="B31" s="643"/>
      <c r="C31" s="643"/>
      <c r="D31" s="643"/>
      <c r="E31" s="643"/>
      <c r="F31" s="643"/>
      <c r="G31" s="498">
        <v>566</v>
      </c>
      <c r="H31" s="493">
        <v>960</v>
      </c>
    </row>
    <row r="32" spans="1:7" ht="16.5" thickTop="1">
      <c r="A32" s="406"/>
      <c r="B32" s="406"/>
      <c r="C32" s="406"/>
      <c r="D32" s="406"/>
      <c r="E32" s="406"/>
      <c r="F32" s="406"/>
      <c r="G32" s="406"/>
    </row>
    <row r="33" spans="1:7" ht="15.75">
      <c r="A33" s="406"/>
      <c r="B33" s="406"/>
      <c r="C33" s="406"/>
      <c r="D33" s="406"/>
      <c r="E33" s="406"/>
      <c r="F33" s="406"/>
      <c r="G33" s="406"/>
    </row>
    <row r="34" spans="1:8" ht="15.75">
      <c r="A34" s="645" t="s">
        <v>171</v>
      </c>
      <c r="B34" s="645"/>
      <c r="C34" s="645"/>
      <c r="D34" s="645"/>
      <c r="E34" s="645"/>
      <c r="F34" s="645"/>
      <c r="G34" s="645"/>
      <c r="H34" s="546"/>
    </row>
    <row r="35" spans="1:8" ht="15.75">
      <c r="A35" s="645" t="s">
        <v>583</v>
      </c>
      <c r="B35" s="645"/>
      <c r="C35" s="645"/>
      <c r="D35" s="645"/>
      <c r="E35" s="645"/>
      <c r="F35" s="645"/>
      <c r="G35" s="645"/>
      <c r="H35" s="546"/>
    </row>
    <row r="36" spans="1:7" ht="16.5" thickBot="1">
      <c r="A36" s="406"/>
      <c r="B36" s="406"/>
      <c r="C36" s="406"/>
      <c r="D36" s="406"/>
      <c r="E36" s="407" t="s">
        <v>537</v>
      </c>
      <c r="F36" s="406"/>
      <c r="G36" s="406"/>
    </row>
    <row r="37" spans="1:8" ht="19.5" customHeight="1" thickBot="1" thickTop="1">
      <c r="A37" s="644" t="s">
        <v>584</v>
      </c>
      <c r="B37" s="644"/>
      <c r="C37" s="644"/>
      <c r="D37" s="644"/>
      <c r="E37" s="644"/>
      <c r="F37" s="644"/>
      <c r="G37" s="494" t="s">
        <v>206</v>
      </c>
      <c r="H37" s="489" t="s">
        <v>700</v>
      </c>
    </row>
    <row r="38" spans="1:8" s="409" customFormat="1" ht="15.75">
      <c r="A38" s="639" t="s">
        <v>585</v>
      </c>
      <c r="B38" s="639"/>
      <c r="C38" s="639"/>
      <c r="D38" s="639"/>
      <c r="E38" s="639"/>
      <c r="F38" s="639"/>
      <c r="G38" s="495">
        <v>1698</v>
      </c>
      <c r="H38" s="490">
        <v>2885</v>
      </c>
    </row>
    <row r="39" spans="1:8" s="409" customFormat="1" ht="15.75">
      <c r="A39" s="640" t="s">
        <v>592</v>
      </c>
      <c r="B39" s="640"/>
      <c r="C39" s="640"/>
      <c r="D39" s="640"/>
      <c r="E39" s="640"/>
      <c r="F39" s="640"/>
      <c r="G39" s="495"/>
      <c r="H39" s="490">
        <v>30</v>
      </c>
    </row>
    <row r="40" spans="1:8" ht="15.75">
      <c r="A40" s="641" t="s">
        <v>586</v>
      </c>
      <c r="B40" s="641"/>
      <c r="C40" s="641"/>
      <c r="D40" s="641"/>
      <c r="E40" s="641"/>
      <c r="F40" s="641"/>
      <c r="G40" s="496">
        <f>SUM(G38:G38)</f>
        <v>1698</v>
      </c>
      <c r="H40" s="491">
        <v>2915</v>
      </c>
    </row>
    <row r="41" spans="1:8" ht="15.75">
      <c r="A41" s="642" t="s">
        <v>587</v>
      </c>
      <c r="B41" s="642"/>
      <c r="C41" s="642"/>
      <c r="D41" s="642"/>
      <c r="E41" s="642"/>
      <c r="F41" s="642"/>
      <c r="G41" s="497">
        <v>1698</v>
      </c>
      <c r="H41" s="492">
        <v>2915</v>
      </c>
    </row>
    <row r="42" spans="1:8" ht="16.5" thickBot="1">
      <c r="A42" s="643" t="s">
        <v>588</v>
      </c>
      <c r="B42" s="643"/>
      <c r="C42" s="643"/>
      <c r="D42" s="643"/>
      <c r="E42" s="643"/>
      <c r="F42" s="643"/>
      <c r="G42" s="498">
        <f>SUM(G41)</f>
        <v>1698</v>
      </c>
      <c r="H42" s="493">
        <f>SUM(H41)</f>
        <v>2915</v>
      </c>
    </row>
  </sheetData>
  <mergeCells count="30">
    <mergeCell ref="A42:F42"/>
    <mergeCell ref="A3:H3"/>
    <mergeCell ref="A4:H4"/>
    <mergeCell ref="A13:H13"/>
    <mergeCell ref="A14:H14"/>
    <mergeCell ref="A23:H23"/>
    <mergeCell ref="A24:H24"/>
    <mergeCell ref="A34:H34"/>
    <mergeCell ref="A35:H35"/>
    <mergeCell ref="A6:F6"/>
    <mergeCell ref="A7:F7"/>
    <mergeCell ref="A8:F8"/>
    <mergeCell ref="A9:F9"/>
    <mergeCell ref="A10:F10"/>
    <mergeCell ref="A16:F16"/>
    <mergeCell ref="A17:F17"/>
    <mergeCell ref="A18:F18"/>
    <mergeCell ref="A19:F19"/>
    <mergeCell ref="A20:F20"/>
    <mergeCell ref="A26:F26"/>
    <mergeCell ref="A27:F27"/>
    <mergeCell ref="A29:F29"/>
    <mergeCell ref="A30:F30"/>
    <mergeCell ref="A28:F28"/>
    <mergeCell ref="A31:F31"/>
    <mergeCell ref="A37:F37"/>
    <mergeCell ref="A38:F38"/>
    <mergeCell ref="A39:F39"/>
    <mergeCell ref="A40:F40"/>
    <mergeCell ref="A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00390625" defaultRowHeight="12.75"/>
  <cols>
    <col min="1" max="16384" width="9.125" style="118" customWidth="1"/>
  </cols>
  <sheetData/>
  <printOptions horizontalCentered="1"/>
  <pageMargins left="0.551181102362204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C19">
      <selection activeCell="G28" sqref="G28"/>
    </sheetView>
  </sheetViews>
  <sheetFormatPr defaultColWidth="9.00390625" defaultRowHeight="12.75"/>
  <cols>
    <col min="1" max="1" width="57.875" style="13" customWidth="1"/>
    <col min="2" max="3" width="11.75390625" style="13" customWidth="1"/>
    <col min="4" max="4" width="51.375" style="13" customWidth="1"/>
    <col min="5" max="6" width="11.75390625" style="13" customWidth="1"/>
    <col min="7" max="16384" width="9.125" style="13" customWidth="1"/>
  </cols>
  <sheetData>
    <row r="1" spans="1:4" ht="12.75">
      <c r="A1" s="257" t="s">
        <v>254</v>
      </c>
      <c r="B1" s="11"/>
      <c r="C1" s="11"/>
      <c r="D1" s="12"/>
    </row>
    <row r="2" ht="12" customHeight="1"/>
    <row r="3" spans="1:6" s="27" customFormat="1" ht="15">
      <c r="A3" s="553" t="s">
        <v>25</v>
      </c>
      <c r="B3" s="554"/>
      <c r="C3" s="554"/>
      <c r="D3" s="554"/>
      <c r="E3" s="546"/>
      <c r="F3" s="546"/>
    </row>
    <row r="4" spans="1:4" ht="15.75" thickBot="1">
      <c r="A4" s="49"/>
      <c r="B4" s="49"/>
      <c r="C4" s="49"/>
      <c r="D4" s="49"/>
    </row>
    <row r="5" spans="1:6" ht="14.25">
      <c r="A5" s="555" t="s">
        <v>232</v>
      </c>
      <c r="B5" s="556"/>
      <c r="C5" s="557"/>
      <c r="D5" s="555" t="s">
        <v>233</v>
      </c>
      <c r="E5" s="558"/>
      <c r="F5" s="559"/>
    </row>
    <row r="6" spans="1:6" ht="15" thickBot="1">
      <c r="A6" s="95"/>
      <c r="B6" s="322" t="s">
        <v>207</v>
      </c>
      <c r="C6" s="322" t="s">
        <v>700</v>
      </c>
      <c r="D6" s="96"/>
      <c r="E6" s="322" t="s">
        <v>206</v>
      </c>
      <c r="F6" s="322" t="s">
        <v>700</v>
      </c>
    </row>
    <row r="7" spans="1:6" ht="15">
      <c r="A7" s="97" t="s">
        <v>255</v>
      </c>
      <c r="B7" s="98">
        <v>186924</v>
      </c>
      <c r="C7" s="98">
        <v>187642</v>
      </c>
      <c r="D7" s="99" t="s">
        <v>256</v>
      </c>
      <c r="E7" s="100">
        <v>1781603</v>
      </c>
      <c r="F7" s="98">
        <v>1861057</v>
      </c>
    </row>
    <row r="8" spans="1:6" ht="15">
      <c r="A8" s="101" t="s">
        <v>293</v>
      </c>
      <c r="B8" s="98">
        <v>1908453</v>
      </c>
      <c r="C8" s="98">
        <v>1908533</v>
      </c>
      <c r="D8" s="102" t="s">
        <v>257</v>
      </c>
      <c r="E8" s="103">
        <v>474811</v>
      </c>
      <c r="F8" s="106">
        <v>499186</v>
      </c>
    </row>
    <row r="9" spans="1:6" ht="15">
      <c r="A9" s="101" t="s">
        <v>250</v>
      </c>
      <c r="B9" s="98">
        <v>862671</v>
      </c>
      <c r="C9" s="98">
        <v>862671</v>
      </c>
      <c r="D9" s="104" t="s">
        <v>209</v>
      </c>
      <c r="E9" s="103">
        <v>1303565</v>
      </c>
      <c r="F9" s="106">
        <v>1336089</v>
      </c>
    </row>
    <row r="10" spans="1:6" ht="15">
      <c r="A10" s="101" t="s">
        <v>190</v>
      </c>
      <c r="B10" s="98">
        <v>745910</v>
      </c>
      <c r="C10" s="98">
        <v>766633</v>
      </c>
      <c r="D10" s="102" t="s">
        <v>258</v>
      </c>
      <c r="E10" s="103">
        <v>252456</v>
      </c>
      <c r="F10" s="106">
        <v>273204</v>
      </c>
    </row>
    <row r="11" spans="1:6" ht="15">
      <c r="A11" s="101" t="s">
        <v>200</v>
      </c>
      <c r="B11" s="98">
        <v>2700</v>
      </c>
      <c r="C11" s="98">
        <v>12050</v>
      </c>
      <c r="D11" s="102" t="s">
        <v>259</v>
      </c>
      <c r="E11" s="103">
        <v>223696</v>
      </c>
      <c r="F11" s="106">
        <v>224477</v>
      </c>
    </row>
    <row r="12" spans="1:6" ht="15">
      <c r="A12" s="105" t="s">
        <v>215</v>
      </c>
      <c r="B12" s="98">
        <v>1698</v>
      </c>
      <c r="C12" s="98">
        <v>2484</v>
      </c>
      <c r="D12" s="101" t="s">
        <v>260</v>
      </c>
      <c r="E12" s="103">
        <v>9378</v>
      </c>
      <c r="F12" s="106">
        <v>9378</v>
      </c>
    </row>
    <row r="13" spans="1:6" ht="15">
      <c r="A13" s="105" t="s">
        <v>156</v>
      </c>
      <c r="B13" s="106">
        <v>190225</v>
      </c>
      <c r="C13" s="106">
        <v>190225</v>
      </c>
      <c r="D13" s="101" t="s">
        <v>279</v>
      </c>
      <c r="E13" s="103">
        <v>15000</v>
      </c>
      <c r="F13" s="106">
        <v>13560</v>
      </c>
    </row>
    <row r="14" spans="1:6" ht="15">
      <c r="A14" s="101" t="s">
        <v>622</v>
      </c>
      <c r="B14" s="103">
        <v>5000</v>
      </c>
      <c r="C14" s="103">
        <v>9587</v>
      </c>
      <c r="D14" s="107" t="s">
        <v>162</v>
      </c>
      <c r="E14" s="103"/>
      <c r="F14" s="106"/>
    </row>
    <row r="15" spans="1:6" ht="15">
      <c r="A15" s="108" t="s">
        <v>201</v>
      </c>
      <c r="B15" s="109">
        <v>150000</v>
      </c>
      <c r="C15" s="109">
        <v>252329</v>
      </c>
      <c r="D15" s="110" t="s">
        <v>149</v>
      </c>
      <c r="E15" s="109">
        <v>136900</v>
      </c>
      <c r="F15" s="106">
        <v>109537</v>
      </c>
    </row>
    <row r="16" spans="1:6" ht="15">
      <c r="A16" s="111" t="s">
        <v>31</v>
      </c>
      <c r="B16" s="103">
        <v>144668</v>
      </c>
      <c r="C16" s="103">
        <v>150802</v>
      </c>
      <c r="D16" s="226" t="s">
        <v>32</v>
      </c>
      <c r="E16" s="103">
        <v>840</v>
      </c>
      <c r="F16" s="103">
        <v>840</v>
      </c>
    </row>
    <row r="17" spans="1:6" ht="15">
      <c r="A17" s="464" t="s">
        <v>587</v>
      </c>
      <c r="B17" s="100"/>
      <c r="C17" s="100">
        <v>67580</v>
      </c>
      <c r="D17" s="465" t="s">
        <v>623</v>
      </c>
      <c r="E17" s="100"/>
      <c r="F17" s="98"/>
    </row>
    <row r="18" spans="1:6" ht="15">
      <c r="A18" s="464"/>
      <c r="B18" s="100"/>
      <c r="C18" s="100"/>
      <c r="D18" s="465" t="s">
        <v>624</v>
      </c>
      <c r="E18" s="100"/>
      <c r="F18" s="98">
        <v>8000</v>
      </c>
    </row>
    <row r="19" spans="1:6" ht="15">
      <c r="A19" s="111"/>
      <c r="B19" s="103"/>
      <c r="C19" s="103"/>
      <c r="D19" s="226" t="s">
        <v>625</v>
      </c>
      <c r="E19" s="103"/>
      <c r="F19" s="106">
        <v>4587</v>
      </c>
    </row>
    <row r="20" spans="1:6" ht="15.75" thickBot="1">
      <c r="A20" s="462"/>
      <c r="B20" s="321"/>
      <c r="C20" s="321"/>
      <c r="D20" s="463" t="s">
        <v>626</v>
      </c>
      <c r="E20" s="321"/>
      <c r="F20" s="466">
        <v>15000</v>
      </c>
    </row>
    <row r="21" spans="1:256" s="29" customFormat="1" ht="15" thickBot="1">
      <c r="A21" s="112" t="s">
        <v>261</v>
      </c>
      <c r="B21" s="113">
        <f>SUM(B7:B16)</f>
        <v>4198249</v>
      </c>
      <c r="C21" s="113">
        <f>SUM(C7:C17)</f>
        <v>4410536</v>
      </c>
      <c r="D21" s="112" t="s">
        <v>261</v>
      </c>
      <c r="E21" s="113">
        <f>SUM(E7:E16)</f>
        <v>4198249</v>
      </c>
      <c r="F21" s="467">
        <f>SUM(F7:F20)</f>
        <v>4354915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5" s="28" customFormat="1" ht="15">
      <c r="A22" s="50"/>
      <c r="B22" s="50"/>
      <c r="C22" s="50"/>
      <c r="D22" s="50"/>
      <c r="E22" s="114"/>
    </row>
    <row r="23" spans="1:5" ht="15">
      <c r="A23" s="258" t="s">
        <v>262</v>
      </c>
      <c r="B23" s="51"/>
      <c r="C23" s="51"/>
      <c r="D23" s="49"/>
      <c r="E23" s="49"/>
    </row>
    <row r="24" spans="1:4" ht="13.5" customHeight="1">
      <c r="A24" s="49"/>
      <c r="B24" s="49"/>
      <c r="C24" s="49"/>
      <c r="D24" s="52"/>
    </row>
    <row r="25" spans="1:6" s="27" customFormat="1" ht="15">
      <c r="A25" s="553" t="s">
        <v>26</v>
      </c>
      <c r="B25" s="554"/>
      <c r="C25" s="554"/>
      <c r="D25" s="554"/>
      <c r="E25" s="546"/>
      <c r="F25" s="546"/>
    </row>
    <row r="26" spans="1:4" ht="14.25" customHeight="1" thickBot="1">
      <c r="A26" s="49"/>
      <c r="B26" s="49"/>
      <c r="C26" s="49"/>
      <c r="D26" s="48"/>
    </row>
    <row r="27" spans="1:6" s="27" customFormat="1" ht="14.25">
      <c r="A27" s="555" t="s">
        <v>232</v>
      </c>
      <c r="B27" s="556"/>
      <c r="C27" s="557"/>
      <c r="D27" s="555" t="s">
        <v>233</v>
      </c>
      <c r="E27" s="558"/>
      <c r="F27" s="559"/>
    </row>
    <row r="28" spans="1:6" s="27" customFormat="1" ht="15" thickBot="1">
      <c r="A28" s="115"/>
      <c r="B28" s="322" t="s">
        <v>207</v>
      </c>
      <c r="C28" s="322" t="s">
        <v>700</v>
      </c>
      <c r="D28" s="116"/>
      <c r="E28" s="322" t="s">
        <v>207</v>
      </c>
      <c r="F28" s="322" t="s">
        <v>700</v>
      </c>
    </row>
    <row r="29" spans="1:6" s="27" customFormat="1" ht="15">
      <c r="A29" s="102" t="s">
        <v>287</v>
      </c>
      <c r="B29" s="100">
        <v>45800</v>
      </c>
      <c r="C29" s="100">
        <v>45800</v>
      </c>
      <c r="D29" s="101" t="s">
        <v>244</v>
      </c>
      <c r="E29" s="100">
        <v>4313681</v>
      </c>
      <c r="F29" s="100">
        <v>4524342</v>
      </c>
    </row>
    <row r="30" spans="1:6" ht="15">
      <c r="A30" s="102" t="s">
        <v>245</v>
      </c>
      <c r="B30" s="100">
        <v>148000</v>
      </c>
      <c r="C30" s="100">
        <v>148000</v>
      </c>
      <c r="D30" s="102" t="s">
        <v>263</v>
      </c>
      <c r="E30" s="103">
        <v>212168</v>
      </c>
      <c r="F30" s="103">
        <v>209653</v>
      </c>
    </row>
    <row r="31" spans="1:6" ht="15">
      <c r="A31" s="102" t="s">
        <v>174</v>
      </c>
      <c r="B31" s="100">
        <v>72000</v>
      </c>
      <c r="C31" s="100">
        <v>72000</v>
      </c>
      <c r="D31" s="102" t="s">
        <v>203</v>
      </c>
      <c r="E31" s="103">
        <v>13573</v>
      </c>
      <c r="F31" s="103">
        <v>13573</v>
      </c>
    </row>
    <row r="32" spans="1:6" ht="15">
      <c r="A32" s="101" t="s">
        <v>208</v>
      </c>
      <c r="B32" s="103">
        <v>18464</v>
      </c>
      <c r="C32" s="100">
        <v>147364</v>
      </c>
      <c r="D32" s="99" t="s">
        <v>264</v>
      </c>
      <c r="E32" s="103">
        <v>372877</v>
      </c>
      <c r="F32" s="103">
        <v>385155</v>
      </c>
    </row>
    <row r="33" spans="1:6" ht="15">
      <c r="A33" s="102" t="s">
        <v>175</v>
      </c>
      <c r="B33" s="100">
        <v>6700</v>
      </c>
      <c r="C33" s="321">
        <v>6700</v>
      </c>
      <c r="D33" s="108" t="s">
        <v>265</v>
      </c>
      <c r="E33" s="103">
        <v>2598</v>
      </c>
      <c r="F33" s="103">
        <v>2598</v>
      </c>
    </row>
    <row r="34" spans="1:6" ht="15">
      <c r="A34" s="101" t="s">
        <v>157</v>
      </c>
      <c r="B34" s="103">
        <v>15661</v>
      </c>
      <c r="C34" s="103">
        <v>15661</v>
      </c>
      <c r="D34" s="101" t="s">
        <v>182</v>
      </c>
      <c r="E34" s="103">
        <v>8500</v>
      </c>
      <c r="F34" s="103">
        <v>8500</v>
      </c>
    </row>
    <row r="35" spans="1:6" ht="15">
      <c r="A35" s="101" t="s">
        <v>202</v>
      </c>
      <c r="B35" s="103">
        <v>2492844</v>
      </c>
      <c r="C35" s="103">
        <v>2188343</v>
      </c>
      <c r="D35" s="101" t="s">
        <v>158</v>
      </c>
      <c r="E35" s="103"/>
      <c r="F35" s="103"/>
    </row>
    <row r="36" spans="1:6" ht="15">
      <c r="A36" s="101" t="s">
        <v>266</v>
      </c>
      <c r="B36" s="117">
        <v>9000</v>
      </c>
      <c r="C36" s="117">
        <v>9000</v>
      </c>
      <c r="D36" s="101" t="s">
        <v>192</v>
      </c>
      <c r="E36" s="103">
        <v>30493</v>
      </c>
      <c r="F36" s="103">
        <v>33149</v>
      </c>
    </row>
    <row r="37" spans="1:6" ht="15">
      <c r="A37" s="101" t="s">
        <v>33</v>
      </c>
      <c r="B37" s="117">
        <v>13854</v>
      </c>
      <c r="C37" s="117">
        <v>13854</v>
      </c>
      <c r="D37" s="101" t="s">
        <v>270</v>
      </c>
      <c r="E37" s="103">
        <v>18464</v>
      </c>
      <c r="F37" s="103">
        <v>147364</v>
      </c>
    </row>
    <row r="38" spans="1:6" ht="15">
      <c r="A38" s="101" t="s">
        <v>194</v>
      </c>
      <c r="B38" s="117">
        <v>129000</v>
      </c>
      <c r="C38" s="117">
        <v>129000</v>
      </c>
      <c r="D38" s="101" t="s">
        <v>210</v>
      </c>
      <c r="E38" s="103">
        <v>128930</v>
      </c>
      <c r="F38" s="103">
        <v>128930</v>
      </c>
    </row>
    <row r="39" spans="1:6" ht="15">
      <c r="A39" s="101" t="s">
        <v>549</v>
      </c>
      <c r="B39" s="117">
        <v>455000</v>
      </c>
      <c r="C39" s="117">
        <v>455000</v>
      </c>
      <c r="D39" s="101" t="s">
        <v>360</v>
      </c>
      <c r="E39" s="103">
        <v>5039</v>
      </c>
      <c r="F39" s="103">
        <v>5039</v>
      </c>
    </row>
    <row r="40" spans="1:6" ht="15">
      <c r="A40" s="101" t="s">
        <v>201</v>
      </c>
      <c r="B40" s="117">
        <v>1700000</v>
      </c>
      <c r="C40" s="117">
        <v>2193878</v>
      </c>
      <c r="D40" s="101" t="s">
        <v>628</v>
      </c>
      <c r="E40" s="103"/>
      <c r="F40" s="103"/>
    </row>
    <row r="41" spans="1:6" ht="15.75" thickBot="1">
      <c r="A41" s="468" t="s">
        <v>627</v>
      </c>
      <c r="B41" s="469"/>
      <c r="C41" s="469">
        <v>248</v>
      </c>
      <c r="D41" s="468" t="s">
        <v>629</v>
      </c>
      <c r="E41" s="321"/>
      <c r="F41" s="470">
        <v>22166</v>
      </c>
    </row>
    <row r="42" spans="1:6" ht="15" thickBot="1">
      <c r="A42" s="112" t="s">
        <v>261</v>
      </c>
      <c r="B42" s="113">
        <f>SUM(B29:B40)</f>
        <v>5106323</v>
      </c>
      <c r="C42" s="113">
        <f>SUM(C29:C41)</f>
        <v>5424848</v>
      </c>
      <c r="D42" s="112" t="s">
        <v>261</v>
      </c>
      <c r="E42" s="113">
        <f>SUM(E29:E40)</f>
        <v>5106323</v>
      </c>
      <c r="F42" s="471">
        <f>SUM(F29:F41)</f>
        <v>5480469</v>
      </c>
    </row>
    <row r="43" spans="1:4" ht="12.75">
      <c r="A43" s="27"/>
      <c r="B43" s="30"/>
      <c r="C43" s="30"/>
      <c r="D43" s="30"/>
    </row>
    <row r="44" spans="1:4" ht="12.75">
      <c r="A44" s="12"/>
      <c r="B44" s="15"/>
      <c r="C44" s="15"/>
      <c r="D44" s="14"/>
    </row>
    <row r="45" spans="2:3" ht="12.75">
      <c r="B45" s="12"/>
      <c r="C45" s="12"/>
    </row>
  </sheetData>
  <mergeCells count="6">
    <mergeCell ref="A3:F3"/>
    <mergeCell ref="A25:F25"/>
    <mergeCell ref="A5:C5"/>
    <mergeCell ref="A27:C27"/>
    <mergeCell ref="D27:F27"/>
    <mergeCell ref="D5:F5"/>
  </mergeCells>
  <printOptions horizontalCentered="1"/>
  <pageMargins left="0.15748031496062992" right="0.15748031496062992" top="0.6692913385826772" bottom="0.59" header="0.15748031496062992" footer="0.1574803149606299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D1">
      <selection activeCell="G9" sqref="G9"/>
    </sheetView>
  </sheetViews>
  <sheetFormatPr defaultColWidth="9.00390625" defaultRowHeight="12.75"/>
  <cols>
    <col min="1" max="1" width="49.625" style="0" customWidth="1"/>
    <col min="2" max="9" width="14.75390625" style="0" customWidth="1"/>
  </cols>
  <sheetData>
    <row r="1" spans="1:8" ht="12.75">
      <c r="A1" s="123" t="s">
        <v>144</v>
      </c>
      <c r="B1" s="124"/>
      <c r="C1" s="124"/>
      <c r="D1" s="124"/>
      <c r="E1" s="124"/>
      <c r="F1" s="124"/>
      <c r="G1" s="124"/>
      <c r="H1" s="124"/>
    </row>
    <row r="2" spans="1:9" ht="14.25">
      <c r="A2" s="560" t="s">
        <v>20</v>
      </c>
      <c r="B2" s="560"/>
      <c r="C2" s="560"/>
      <c r="D2" s="560"/>
      <c r="E2" s="560"/>
      <c r="F2" s="560"/>
      <c r="G2" s="560"/>
      <c r="H2" s="546"/>
      <c r="I2" s="546"/>
    </row>
    <row r="3" spans="1:8" ht="15.75" thickBot="1">
      <c r="A3" s="50"/>
      <c r="B3" s="50"/>
      <c r="C3" s="50"/>
      <c r="D3" s="50"/>
      <c r="E3" s="50"/>
      <c r="F3" s="50"/>
      <c r="G3" s="50"/>
      <c r="H3" s="124"/>
    </row>
    <row r="4" spans="1:9" ht="54.75" customHeight="1" thickTop="1">
      <c r="A4" s="125" t="s">
        <v>129</v>
      </c>
      <c r="B4" s="561" t="s">
        <v>294</v>
      </c>
      <c r="C4" s="562"/>
      <c r="D4" s="561" t="s">
        <v>216</v>
      </c>
      <c r="E4" s="562"/>
      <c r="F4" s="561" t="s">
        <v>204</v>
      </c>
      <c r="G4" s="562"/>
      <c r="H4" s="563" t="s">
        <v>220</v>
      </c>
      <c r="I4" s="541"/>
    </row>
    <row r="5" spans="1:9" ht="12.75" customHeight="1">
      <c r="A5" s="126"/>
      <c r="B5" s="127" t="s">
        <v>115</v>
      </c>
      <c r="C5" s="127" t="s">
        <v>700</v>
      </c>
      <c r="D5" s="127" t="s">
        <v>115</v>
      </c>
      <c r="E5" s="127" t="s">
        <v>700</v>
      </c>
      <c r="F5" s="127" t="s">
        <v>115</v>
      </c>
      <c r="G5" s="127" t="s">
        <v>700</v>
      </c>
      <c r="H5" s="323" t="s">
        <v>207</v>
      </c>
      <c r="I5" s="543" t="s">
        <v>700</v>
      </c>
    </row>
    <row r="6" spans="1:9" ht="12.75">
      <c r="A6" s="128" t="s">
        <v>114</v>
      </c>
      <c r="B6" s="129">
        <v>27500</v>
      </c>
      <c r="C6" s="130">
        <v>27500</v>
      </c>
      <c r="D6" s="130">
        <v>107829</v>
      </c>
      <c r="E6" s="130">
        <v>109181</v>
      </c>
      <c r="F6" s="130">
        <v>6400</v>
      </c>
      <c r="G6" s="130">
        <v>6400</v>
      </c>
      <c r="H6" s="133">
        <f>SUM(B6+D6+F6)</f>
        <v>141729</v>
      </c>
      <c r="I6" s="401">
        <f>SUM(C6+E6+G6)</f>
        <v>143081</v>
      </c>
    </row>
    <row r="7" spans="1:9" ht="12.75">
      <c r="A7" s="131" t="s">
        <v>118</v>
      </c>
      <c r="B7" s="132">
        <v>33488</v>
      </c>
      <c r="C7" s="133">
        <v>162408</v>
      </c>
      <c r="D7" s="133">
        <v>25621</v>
      </c>
      <c r="E7" s="133">
        <v>24954</v>
      </c>
      <c r="F7" s="133">
        <v>50</v>
      </c>
      <c r="G7" s="133">
        <v>50</v>
      </c>
      <c r="H7" s="133">
        <f aca="true" t="shared" si="0" ref="H7:H48">SUM(B7+D7+F7)</f>
        <v>59159</v>
      </c>
      <c r="I7" s="401">
        <f aca="true" t="shared" si="1" ref="I7:I48">SUM(C7+E7+G7)</f>
        <v>187412</v>
      </c>
    </row>
    <row r="8" spans="1:9" ht="12.75">
      <c r="A8" s="131" t="s">
        <v>119</v>
      </c>
      <c r="B8" s="132">
        <v>133000</v>
      </c>
      <c r="C8" s="133">
        <v>133013</v>
      </c>
      <c r="D8" s="133"/>
      <c r="E8" s="133"/>
      <c r="F8" s="133">
        <v>500</v>
      </c>
      <c r="G8" s="133">
        <v>500</v>
      </c>
      <c r="H8" s="133">
        <f t="shared" si="0"/>
        <v>133500</v>
      </c>
      <c r="I8" s="401">
        <f t="shared" si="1"/>
        <v>133513</v>
      </c>
    </row>
    <row r="9" spans="1:9" ht="12.75">
      <c r="A9" s="131" t="s">
        <v>334</v>
      </c>
      <c r="B9" s="132">
        <v>129000</v>
      </c>
      <c r="C9" s="133">
        <v>129000</v>
      </c>
      <c r="D9" s="133"/>
      <c r="E9" s="133"/>
      <c r="F9" s="133"/>
      <c r="G9" s="133"/>
      <c r="H9" s="133">
        <f t="shared" si="0"/>
        <v>129000</v>
      </c>
      <c r="I9" s="401">
        <f t="shared" si="1"/>
        <v>129000</v>
      </c>
    </row>
    <row r="10" spans="1:9" ht="12.75">
      <c r="A10" s="131" t="s">
        <v>112</v>
      </c>
      <c r="B10" s="132">
        <v>2700</v>
      </c>
      <c r="C10" s="133">
        <v>12050</v>
      </c>
      <c r="D10" s="133"/>
      <c r="E10" s="133"/>
      <c r="F10" s="133"/>
      <c r="G10" s="133"/>
      <c r="H10" s="133">
        <f t="shared" si="0"/>
        <v>2700</v>
      </c>
      <c r="I10" s="401">
        <f t="shared" si="1"/>
        <v>12050</v>
      </c>
    </row>
    <row r="11" spans="1:9" ht="12.75">
      <c r="A11" s="134" t="s">
        <v>120</v>
      </c>
      <c r="B11" s="135">
        <f aca="true" t="shared" si="2" ref="B11:G11">SUM(B6+B7+B8+B10)</f>
        <v>196688</v>
      </c>
      <c r="C11" s="135">
        <f t="shared" si="2"/>
        <v>334971</v>
      </c>
      <c r="D11" s="135">
        <f t="shared" si="2"/>
        <v>133450</v>
      </c>
      <c r="E11" s="135">
        <f t="shared" si="2"/>
        <v>134135</v>
      </c>
      <c r="F11" s="135">
        <f t="shared" si="2"/>
        <v>6950</v>
      </c>
      <c r="G11" s="135">
        <f t="shared" si="2"/>
        <v>6950</v>
      </c>
      <c r="H11" s="317">
        <f t="shared" si="0"/>
        <v>337088</v>
      </c>
      <c r="I11" s="402">
        <f t="shared" si="1"/>
        <v>476056</v>
      </c>
    </row>
    <row r="12" spans="1:9" ht="12.75">
      <c r="A12" s="131" t="s">
        <v>320</v>
      </c>
      <c r="B12" s="132">
        <f>SUM(B14:B19)</f>
        <v>1140400</v>
      </c>
      <c r="C12" s="133">
        <v>1140400</v>
      </c>
      <c r="D12" s="133"/>
      <c r="E12" s="133"/>
      <c r="F12" s="133"/>
      <c r="G12" s="133"/>
      <c r="H12" s="133">
        <f t="shared" si="0"/>
        <v>1140400</v>
      </c>
      <c r="I12" s="401">
        <f t="shared" si="1"/>
        <v>1140400</v>
      </c>
    </row>
    <row r="13" spans="1:9" ht="12.75">
      <c r="A13" s="131" t="s">
        <v>313</v>
      </c>
      <c r="B13" s="132"/>
      <c r="C13" s="133"/>
      <c r="D13" s="133"/>
      <c r="E13" s="133"/>
      <c r="F13" s="133"/>
      <c r="G13" s="133"/>
      <c r="H13" s="133">
        <f t="shared" si="0"/>
        <v>0</v>
      </c>
      <c r="I13" s="401">
        <f t="shared" si="1"/>
        <v>0</v>
      </c>
    </row>
    <row r="14" spans="1:9" ht="12.75">
      <c r="A14" s="131" t="s">
        <v>314</v>
      </c>
      <c r="B14" s="132">
        <v>190000</v>
      </c>
      <c r="C14" s="133">
        <v>190000</v>
      </c>
      <c r="D14" s="133"/>
      <c r="E14" s="133"/>
      <c r="F14" s="133"/>
      <c r="G14" s="133"/>
      <c r="H14" s="133">
        <f t="shared" si="0"/>
        <v>190000</v>
      </c>
      <c r="I14" s="401">
        <f t="shared" si="1"/>
        <v>190000</v>
      </c>
    </row>
    <row r="15" spans="1:9" ht="12.75">
      <c r="A15" s="131" t="s">
        <v>315</v>
      </c>
      <c r="B15" s="132">
        <v>70000</v>
      </c>
      <c r="C15" s="133">
        <v>70000</v>
      </c>
      <c r="D15" s="133"/>
      <c r="E15" s="133"/>
      <c r="F15" s="133"/>
      <c r="G15" s="133"/>
      <c r="H15" s="133">
        <f t="shared" si="0"/>
        <v>70000</v>
      </c>
      <c r="I15" s="401">
        <f t="shared" si="1"/>
        <v>70000</v>
      </c>
    </row>
    <row r="16" spans="1:9" ht="12.75">
      <c r="A16" s="131" t="s">
        <v>316</v>
      </c>
      <c r="B16" s="132">
        <v>15000</v>
      </c>
      <c r="C16" s="133">
        <v>15000</v>
      </c>
      <c r="D16" s="133"/>
      <c r="E16" s="133"/>
      <c r="F16" s="133"/>
      <c r="G16" s="133"/>
      <c r="H16" s="133">
        <f t="shared" si="0"/>
        <v>15000</v>
      </c>
      <c r="I16" s="401">
        <f t="shared" si="1"/>
        <v>15000</v>
      </c>
    </row>
    <row r="17" spans="1:9" ht="12.75">
      <c r="A17" s="131" t="s">
        <v>317</v>
      </c>
      <c r="B17" s="132">
        <v>850000</v>
      </c>
      <c r="C17" s="133">
        <v>850000</v>
      </c>
      <c r="D17" s="133"/>
      <c r="E17" s="133"/>
      <c r="F17" s="133"/>
      <c r="G17" s="133"/>
      <c r="H17" s="133">
        <f t="shared" si="0"/>
        <v>850000</v>
      </c>
      <c r="I17" s="401">
        <f t="shared" si="1"/>
        <v>850000</v>
      </c>
    </row>
    <row r="18" spans="1:9" ht="12.75">
      <c r="A18" s="131" t="s">
        <v>113</v>
      </c>
      <c r="B18" s="132">
        <v>12000</v>
      </c>
      <c r="C18" s="133">
        <v>12000</v>
      </c>
      <c r="D18" s="133"/>
      <c r="E18" s="133"/>
      <c r="F18" s="133"/>
      <c r="G18" s="133"/>
      <c r="H18" s="133">
        <f t="shared" si="0"/>
        <v>12000</v>
      </c>
      <c r="I18" s="401">
        <f t="shared" si="1"/>
        <v>12000</v>
      </c>
    </row>
    <row r="19" spans="1:9" ht="12.75">
      <c r="A19" s="131" t="s">
        <v>318</v>
      </c>
      <c r="B19" s="132">
        <v>3400</v>
      </c>
      <c r="C19" s="133">
        <v>3400</v>
      </c>
      <c r="D19" s="133"/>
      <c r="E19" s="133"/>
      <c r="F19" s="133"/>
      <c r="G19" s="133"/>
      <c r="H19" s="133">
        <f t="shared" si="0"/>
        <v>3400</v>
      </c>
      <c r="I19" s="401">
        <f t="shared" si="1"/>
        <v>3400</v>
      </c>
    </row>
    <row r="20" spans="1:9" ht="12.75">
      <c r="A20" s="131" t="s">
        <v>121</v>
      </c>
      <c r="B20" s="132">
        <v>426859</v>
      </c>
      <c r="C20" s="133">
        <v>426859</v>
      </c>
      <c r="D20" s="133"/>
      <c r="E20" s="133"/>
      <c r="F20" s="133"/>
      <c r="G20" s="133"/>
      <c r="H20" s="133">
        <f t="shared" si="0"/>
        <v>426859</v>
      </c>
      <c r="I20" s="401">
        <f t="shared" si="1"/>
        <v>426859</v>
      </c>
    </row>
    <row r="21" spans="1:9" ht="12.75">
      <c r="A21" s="131" t="s">
        <v>122</v>
      </c>
      <c r="B21" s="132">
        <v>240000</v>
      </c>
      <c r="C21" s="133">
        <v>240000</v>
      </c>
      <c r="D21" s="133"/>
      <c r="E21" s="133"/>
      <c r="F21" s="133"/>
      <c r="G21" s="133"/>
      <c r="H21" s="133">
        <f t="shared" si="0"/>
        <v>240000</v>
      </c>
      <c r="I21" s="401">
        <f t="shared" si="1"/>
        <v>240000</v>
      </c>
    </row>
    <row r="22" spans="1:9" ht="12.75">
      <c r="A22" s="131" t="s">
        <v>123</v>
      </c>
      <c r="B22" s="132">
        <v>100</v>
      </c>
      <c r="C22" s="133">
        <v>100</v>
      </c>
      <c r="D22" s="133"/>
      <c r="E22" s="133"/>
      <c r="F22" s="133"/>
      <c r="G22" s="133"/>
      <c r="H22" s="133">
        <f t="shared" si="0"/>
        <v>100</v>
      </c>
      <c r="I22" s="401">
        <f t="shared" si="1"/>
        <v>100</v>
      </c>
    </row>
    <row r="23" spans="1:9" ht="12.75">
      <c r="A23" s="131" t="s">
        <v>141</v>
      </c>
      <c r="B23" s="132">
        <v>2500</v>
      </c>
      <c r="C23" s="133">
        <v>2500</v>
      </c>
      <c r="D23" s="133"/>
      <c r="E23" s="133"/>
      <c r="F23" s="133"/>
      <c r="G23" s="133"/>
      <c r="H23" s="133">
        <f t="shared" si="0"/>
        <v>2500</v>
      </c>
      <c r="I23" s="401">
        <f t="shared" si="1"/>
        <v>2500</v>
      </c>
    </row>
    <row r="24" spans="1:9" ht="12.75">
      <c r="A24" s="131" t="s">
        <v>559</v>
      </c>
      <c r="B24" s="132">
        <v>5000</v>
      </c>
      <c r="C24" s="133">
        <v>5000</v>
      </c>
      <c r="D24" s="133"/>
      <c r="E24" s="133"/>
      <c r="F24" s="133"/>
      <c r="G24" s="133"/>
      <c r="H24" s="133">
        <f t="shared" si="0"/>
        <v>5000</v>
      </c>
      <c r="I24" s="401">
        <f t="shared" si="1"/>
        <v>5000</v>
      </c>
    </row>
    <row r="25" spans="1:9" ht="12.75">
      <c r="A25" s="131" t="s">
        <v>21</v>
      </c>
      <c r="B25" s="132">
        <v>39094</v>
      </c>
      <c r="C25" s="133">
        <v>39174</v>
      </c>
      <c r="D25" s="133"/>
      <c r="E25" s="133"/>
      <c r="F25" s="133"/>
      <c r="G25" s="133"/>
      <c r="H25" s="133">
        <f t="shared" si="0"/>
        <v>39094</v>
      </c>
      <c r="I25" s="401">
        <f t="shared" si="1"/>
        <v>39174</v>
      </c>
    </row>
    <row r="26" spans="1:9" ht="12.75">
      <c r="A26" s="131" t="s">
        <v>101</v>
      </c>
      <c r="B26" s="132">
        <v>54500</v>
      </c>
      <c r="C26" s="133">
        <v>54500</v>
      </c>
      <c r="D26" s="133"/>
      <c r="E26" s="133"/>
      <c r="F26" s="133"/>
      <c r="G26" s="133"/>
      <c r="H26" s="133">
        <f t="shared" si="0"/>
        <v>54500</v>
      </c>
      <c r="I26" s="401">
        <f t="shared" si="1"/>
        <v>54500</v>
      </c>
    </row>
    <row r="27" spans="1:9" ht="12.75">
      <c r="A27" s="134" t="s">
        <v>142</v>
      </c>
      <c r="B27" s="135">
        <f aca="true" t="shared" si="3" ref="B27:G27">SUM(B12+B20+B21+B22+B23+B24+B25+B26)</f>
        <v>1908453</v>
      </c>
      <c r="C27" s="135">
        <f t="shared" si="3"/>
        <v>1908533</v>
      </c>
      <c r="D27" s="135">
        <f t="shared" si="3"/>
        <v>0</v>
      </c>
      <c r="E27" s="135">
        <f t="shared" si="3"/>
        <v>0</v>
      </c>
      <c r="F27" s="135">
        <f t="shared" si="3"/>
        <v>0</v>
      </c>
      <c r="G27" s="135">
        <f t="shared" si="3"/>
        <v>0</v>
      </c>
      <c r="H27" s="317">
        <f t="shared" si="0"/>
        <v>1908453</v>
      </c>
      <c r="I27" s="402">
        <f t="shared" si="1"/>
        <v>1908533</v>
      </c>
    </row>
    <row r="28" spans="1:9" ht="12.75">
      <c r="A28" s="136" t="s">
        <v>124</v>
      </c>
      <c r="B28" s="137">
        <f aca="true" t="shared" si="4" ref="B28:G28">SUM(B11+B27)</f>
        <v>2105141</v>
      </c>
      <c r="C28" s="137">
        <f t="shared" si="4"/>
        <v>2243504</v>
      </c>
      <c r="D28" s="137">
        <f t="shared" si="4"/>
        <v>133450</v>
      </c>
      <c r="E28" s="137">
        <f t="shared" si="4"/>
        <v>134135</v>
      </c>
      <c r="F28" s="137">
        <f t="shared" si="4"/>
        <v>6950</v>
      </c>
      <c r="G28" s="137">
        <f t="shared" si="4"/>
        <v>6950</v>
      </c>
      <c r="H28" s="43">
        <f t="shared" si="0"/>
        <v>2245541</v>
      </c>
      <c r="I28" s="398">
        <f t="shared" si="1"/>
        <v>2384589</v>
      </c>
    </row>
    <row r="29" spans="1:9" ht="12.75">
      <c r="A29" s="131" t="s">
        <v>125</v>
      </c>
      <c r="B29" s="132">
        <v>148000</v>
      </c>
      <c r="C29" s="133">
        <v>148000</v>
      </c>
      <c r="D29" s="133"/>
      <c r="E29" s="133"/>
      <c r="F29" s="133"/>
      <c r="G29" s="133"/>
      <c r="H29" s="133">
        <f t="shared" si="0"/>
        <v>148000</v>
      </c>
      <c r="I29" s="401">
        <f t="shared" si="1"/>
        <v>148000</v>
      </c>
    </row>
    <row r="30" spans="1:9" ht="12.75">
      <c r="A30" s="131" t="s">
        <v>351</v>
      </c>
      <c r="B30" s="132">
        <v>45800</v>
      </c>
      <c r="C30" s="133">
        <v>45800</v>
      </c>
      <c r="D30" s="133"/>
      <c r="E30" s="133"/>
      <c r="F30" s="133"/>
      <c r="G30" s="133"/>
      <c r="H30" s="133">
        <f t="shared" si="0"/>
        <v>45800</v>
      </c>
      <c r="I30" s="401">
        <f t="shared" si="1"/>
        <v>45800</v>
      </c>
    </row>
    <row r="31" spans="1:9" ht="12.75">
      <c r="A31" s="131" t="s">
        <v>136</v>
      </c>
      <c r="B31" s="132">
        <v>72000</v>
      </c>
      <c r="C31" s="133">
        <v>72000</v>
      </c>
      <c r="D31" s="133"/>
      <c r="E31" s="133"/>
      <c r="F31" s="133"/>
      <c r="G31" s="133"/>
      <c r="H31" s="133">
        <f t="shared" si="0"/>
        <v>72000</v>
      </c>
      <c r="I31" s="401">
        <f t="shared" si="1"/>
        <v>72000</v>
      </c>
    </row>
    <row r="32" spans="1:9" ht="12.75">
      <c r="A32" s="131" t="s">
        <v>550</v>
      </c>
      <c r="B32" s="132">
        <v>455000</v>
      </c>
      <c r="C32" s="133">
        <v>455000</v>
      </c>
      <c r="D32" s="133"/>
      <c r="E32" s="133"/>
      <c r="F32" s="133"/>
      <c r="G32" s="133"/>
      <c r="H32" s="133">
        <f t="shared" si="0"/>
        <v>455000</v>
      </c>
      <c r="I32" s="401">
        <f t="shared" si="1"/>
        <v>455000</v>
      </c>
    </row>
    <row r="33" spans="1:9" ht="12.75">
      <c r="A33" s="131" t="s">
        <v>311</v>
      </c>
      <c r="B33" s="132">
        <v>13854</v>
      </c>
      <c r="C33" s="133">
        <v>13854</v>
      </c>
      <c r="D33" s="133"/>
      <c r="E33" s="133"/>
      <c r="F33" s="133"/>
      <c r="G33" s="133"/>
      <c r="H33" s="133">
        <f t="shared" si="0"/>
        <v>13854</v>
      </c>
      <c r="I33" s="401">
        <f t="shared" si="1"/>
        <v>13854</v>
      </c>
    </row>
    <row r="34" spans="1:9" ht="12.75">
      <c r="A34" s="131" t="s">
        <v>352</v>
      </c>
      <c r="B34" s="132">
        <v>6700</v>
      </c>
      <c r="C34" s="133">
        <v>6700</v>
      </c>
      <c r="D34" s="133"/>
      <c r="E34" s="133"/>
      <c r="F34" s="133"/>
      <c r="G34" s="133"/>
      <c r="H34" s="133">
        <f t="shared" si="0"/>
        <v>6700</v>
      </c>
      <c r="I34" s="401">
        <f t="shared" si="1"/>
        <v>6700</v>
      </c>
    </row>
    <row r="35" spans="1:9" ht="12.75">
      <c r="A35" s="138" t="s">
        <v>128</v>
      </c>
      <c r="B35" s="137">
        <f aca="true" t="shared" si="5" ref="B35:G35">SUM(B29:B34)</f>
        <v>741354</v>
      </c>
      <c r="C35" s="137">
        <f t="shared" si="5"/>
        <v>741354</v>
      </c>
      <c r="D35" s="137">
        <f t="shared" si="5"/>
        <v>0</v>
      </c>
      <c r="E35" s="137">
        <f t="shared" si="5"/>
        <v>0</v>
      </c>
      <c r="F35" s="137">
        <f t="shared" si="5"/>
        <v>0</v>
      </c>
      <c r="G35" s="137">
        <f t="shared" si="5"/>
        <v>0</v>
      </c>
      <c r="H35" s="133">
        <f t="shared" si="0"/>
        <v>741354</v>
      </c>
      <c r="I35" s="398">
        <f t="shared" si="1"/>
        <v>741354</v>
      </c>
    </row>
    <row r="36" spans="1:9" ht="12.75">
      <c r="A36" s="131" t="s">
        <v>126</v>
      </c>
      <c r="B36" s="132">
        <v>862671</v>
      </c>
      <c r="C36" s="133">
        <v>862671</v>
      </c>
      <c r="D36" s="133"/>
      <c r="E36" s="133"/>
      <c r="F36" s="133"/>
      <c r="G36" s="133"/>
      <c r="H36" s="133">
        <f t="shared" si="0"/>
        <v>862671</v>
      </c>
      <c r="I36" s="401">
        <f t="shared" si="1"/>
        <v>862671</v>
      </c>
    </row>
    <row r="37" spans="1:9" ht="12.75">
      <c r="A37" s="131" t="s">
        <v>561</v>
      </c>
      <c r="B37" s="132">
        <v>190225</v>
      </c>
      <c r="C37" s="133">
        <v>190225</v>
      </c>
      <c r="D37" s="133"/>
      <c r="E37" s="133"/>
      <c r="F37" s="133"/>
      <c r="G37" s="133"/>
      <c r="H37" s="133">
        <f t="shared" si="0"/>
        <v>190225</v>
      </c>
      <c r="I37" s="401">
        <f t="shared" si="1"/>
        <v>190225</v>
      </c>
    </row>
    <row r="38" spans="1:9" ht="12.75">
      <c r="A38" s="131" t="s">
        <v>562</v>
      </c>
      <c r="B38" s="132"/>
      <c r="C38" s="133">
        <v>67828</v>
      </c>
      <c r="D38" s="133"/>
      <c r="E38" s="133"/>
      <c r="F38" s="133"/>
      <c r="G38" s="133"/>
      <c r="H38" s="133">
        <f t="shared" si="0"/>
        <v>0</v>
      </c>
      <c r="I38" s="401">
        <f t="shared" si="1"/>
        <v>67828</v>
      </c>
    </row>
    <row r="39" spans="1:9" ht="12.75">
      <c r="A39" s="131" t="s">
        <v>116</v>
      </c>
      <c r="B39" s="132">
        <v>1698</v>
      </c>
      <c r="C39" s="133">
        <v>2484</v>
      </c>
      <c r="D39" s="133"/>
      <c r="E39" s="133"/>
      <c r="F39" s="133"/>
      <c r="G39" s="133"/>
      <c r="H39" s="133">
        <f t="shared" si="0"/>
        <v>1698</v>
      </c>
      <c r="I39" s="401">
        <f t="shared" si="1"/>
        <v>2484</v>
      </c>
    </row>
    <row r="40" spans="1:9" ht="12.75">
      <c r="A40" s="131" t="s">
        <v>346</v>
      </c>
      <c r="B40" s="132">
        <v>15661</v>
      </c>
      <c r="C40" s="133">
        <v>15661</v>
      </c>
      <c r="D40" s="133"/>
      <c r="E40" s="133"/>
      <c r="F40" s="133"/>
      <c r="G40" s="133"/>
      <c r="H40" s="133">
        <f t="shared" si="0"/>
        <v>15661</v>
      </c>
      <c r="I40" s="401">
        <f t="shared" si="1"/>
        <v>15661</v>
      </c>
    </row>
    <row r="41" spans="1:9" ht="12.75">
      <c r="A41" s="136" t="s">
        <v>143</v>
      </c>
      <c r="B41" s="137">
        <f>SUM(B36:B40)</f>
        <v>1070255</v>
      </c>
      <c r="C41" s="137">
        <f>SUM(C36:C40)</f>
        <v>1138869</v>
      </c>
      <c r="D41" s="137">
        <f>SUM(D36:D39)</f>
        <v>0</v>
      </c>
      <c r="E41" s="137">
        <f>SUM(E36:E39)</f>
        <v>0</v>
      </c>
      <c r="F41" s="137">
        <f>SUM(F36:F39)</f>
        <v>0</v>
      </c>
      <c r="G41" s="137">
        <f>SUM(G36:G39)</f>
        <v>0</v>
      </c>
      <c r="H41" s="43">
        <f t="shared" si="0"/>
        <v>1070255</v>
      </c>
      <c r="I41" s="398">
        <f t="shared" si="1"/>
        <v>1138869</v>
      </c>
    </row>
    <row r="42" spans="1:9" ht="12.75">
      <c r="A42" s="131" t="s">
        <v>102</v>
      </c>
      <c r="B42" s="132">
        <v>139868</v>
      </c>
      <c r="C42" s="133">
        <v>146002</v>
      </c>
      <c r="D42" s="133"/>
      <c r="E42" s="133"/>
      <c r="F42" s="133">
        <v>4800</v>
      </c>
      <c r="G42" s="133">
        <v>4800</v>
      </c>
      <c r="H42" s="133">
        <f t="shared" si="0"/>
        <v>144668</v>
      </c>
      <c r="I42" s="401">
        <f t="shared" si="1"/>
        <v>150802</v>
      </c>
    </row>
    <row r="43" spans="1:9" ht="12.75">
      <c r="A43" s="131" t="s">
        <v>353</v>
      </c>
      <c r="B43" s="132"/>
      <c r="C43" s="133"/>
      <c r="D43" s="133"/>
      <c r="E43" s="133"/>
      <c r="F43" s="133">
        <v>745910</v>
      </c>
      <c r="G43" s="133">
        <v>766633</v>
      </c>
      <c r="H43" s="133">
        <f t="shared" si="0"/>
        <v>745910</v>
      </c>
      <c r="I43" s="401">
        <f t="shared" si="1"/>
        <v>766633</v>
      </c>
    </row>
    <row r="44" spans="1:9" ht="12.75">
      <c r="A44" s="131" t="s">
        <v>103</v>
      </c>
      <c r="B44" s="132">
        <v>2492844</v>
      </c>
      <c r="C44" s="133">
        <v>2186743</v>
      </c>
      <c r="D44" s="133"/>
      <c r="E44" s="133">
        <v>1600</v>
      </c>
      <c r="F44" s="133"/>
      <c r="G44" s="133"/>
      <c r="H44" s="133">
        <f t="shared" si="0"/>
        <v>2492844</v>
      </c>
      <c r="I44" s="401">
        <f t="shared" si="1"/>
        <v>2188343</v>
      </c>
    </row>
    <row r="45" spans="1:9" ht="12.75">
      <c r="A45" s="138" t="s">
        <v>354</v>
      </c>
      <c r="B45" s="137">
        <f aca="true" t="shared" si="6" ref="B45:G45">SUM(B42:B44)</f>
        <v>2632712</v>
      </c>
      <c r="C45" s="137">
        <f t="shared" si="6"/>
        <v>2332745</v>
      </c>
      <c r="D45" s="137">
        <f t="shared" si="6"/>
        <v>0</v>
      </c>
      <c r="E45" s="137">
        <f t="shared" si="6"/>
        <v>1600</v>
      </c>
      <c r="F45" s="137">
        <f t="shared" si="6"/>
        <v>750710</v>
      </c>
      <c r="G45" s="137">
        <f t="shared" si="6"/>
        <v>771433</v>
      </c>
      <c r="H45" s="43">
        <f t="shared" si="0"/>
        <v>3383422</v>
      </c>
      <c r="I45" s="398">
        <f t="shared" si="1"/>
        <v>3105778</v>
      </c>
    </row>
    <row r="46" spans="1:9" ht="12.75">
      <c r="A46" s="138" t="s">
        <v>109</v>
      </c>
      <c r="B46" s="137">
        <v>14000</v>
      </c>
      <c r="C46" s="43">
        <v>18587</v>
      </c>
      <c r="D46" s="43"/>
      <c r="E46" s="43"/>
      <c r="F46" s="43"/>
      <c r="G46" s="43"/>
      <c r="H46" s="43">
        <f t="shared" si="0"/>
        <v>14000</v>
      </c>
      <c r="I46" s="398">
        <f t="shared" si="1"/>
        <v>18587</v>
      </c>
    </row>
    <row r="47" spans="1:9" ht="12.75">
      <c r="A47" s="138" t="s">
        <v>252</v>
      </c>
      <c r="B47" s="137">
        <v>1850000</v>
      </c>
      <c r="C47" s="43">
        <v>2433375</v>
      </c>
      <c r="D47" s="43"/>
      <c r="E47" s="43">
        <v>12069</v>
      </c>
      <c r="F47" s="43"/>
      <c r="G47" s="43">
        <v>763</v>
      </c>
      <c r="H47" s="43">
        <f t="shared" si="0"/>
        <v>1850000</v>
      </c>
      <c r="I47" s="398">
        <f t="shared" si="1"/>
        <v>2446207</v>
      </c>
    </row>
    <row r="48" spans="1:9" ht="13.5" thickBot="1">
      <c r="A48" s="139" t="s">
        <v>127</v>
      </c>
      <c r="B48" s="140">
        <f aca="true" t="shared" si="7" ref="B48:G48">SUM(B28+B35+B41+B45+B46+B47)</f>
        <v>8413462</v>
      </c>
      <c r="C48" s="140">
        <f t="shared" si="7"/>
        <v>8908434</v>
      </c>
      <c r="D48" s="140">
        <f t="shared" si="7"/>
        <v>133450</v>
      </c>
      <c r="E48" s="140">
        <f t="shared" si="7"/>
        <v>147804</v>
      </c>
      <c r="F48" s="140">
        <f t="shared" si="7"/>
        <v>757660</v>
      </c>
      <c r="G48" s="140">
        <f t="shared" si="7"/>
        <v>779146</v>
      </c>
      <c r="H48" s="140">
        <f t="shared" si="0"/>
        <v>9304572</v>
      </c>
      <c r="I48" s="399">
        <f t="shared" si="1"/>
        <v>9835384</v>
      </c>
    </row>
    <row r="49" spans="1:8" ht="13.5" thickTop="1">
      <c r="A49" s="124"/>
      <c r="B49" s="124"/>
      <c r="C49" s="124"/>
      <c r="D49" s="124"/>
      <c r="E49" s="124"/>
      <c r="F49" s="124"/>
      <c r="G49" s="124"/>
      <c r="H49" s="124"/>
    </row>
  </sheetData>
  <mergeCells count="5">
    <mergeCell ref="A2:I2"/>
    <mergeCell ref="B4:C4"/>
    <mergeCell ref="D4:E4"/>
    <mergeCell ref="F4:G4"/>
    <mergeCell ref="H4:I4"/>
  </mergeCells>
  <printOptions horizontalCentered="1"/>
  <pageMargins left="0.29" right="0.43" top="0.3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3"/>
  <sheetViews>
    <sheetView zoomScaleSheetLayoutView="100" workbookViewId="0" topLeftCell="D7">
      <selection activeCell="K8" sqref="K8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46.625" style="4" customWidth="1"/>
    <col min="4" max="11" width="14.75390625" style="4" customWidth="1"/>
    <col min="12" max="16384" width="9.125" style="4" customWidth="1"/>
  </cols>
  <sheetData>
    <row r="1" spans="3:5" s="1" customFormat="1" ht="13.5" customHeight="1">
      <c r="C1" s="2" t="s">
        <v>218</v>
      </c>
      <c r="D1" s="3"/>
      <c r="E1" s="3"/>
    </row>
    <row r="2" s="1" customFormat="1" ht="12.75"/>
    <row r="3" spans="3:11" s="1" customFormat="1" ht="18" customHeight="1">
      <c r="C3" s="564" t="s">
        <v>27</v>
      </c>
      <c r="D3" s="554"/>
      <c r="E3" s="554"/>
      <c r="F3" s="554"/>
      <c r="G3" s="554"/>
      <c r="H3" s="554"/>
      <c r="I3" s="554"/>
      <c r="J3" s="546"/>
      <c r="K3" s="546"/>
    </row>
    <row r="4" spans="3:11" s="1" customFormat="1" ht="18" customHeight="1">
      <c r="C4" s="565" t="s">
        <v>177</v>
      </c>
      <c r="D4" s="565"/>
      <c r="E4" s="565"/>
      <c r="F4" s="565"/>
      <c r="G4" s="565"/>
      <c r="H4" s="565"/>
      <c r="I4" s="565"/>
      <c r="J4" s="546"/>
      <c r="K4" s="546"/>
    </row>
    <row r="5" spans="3:10" s="1" customFormat="1" ht="18" customHeight="1">
      <c r="C5" s="566"/>
      <c r="D5" s="567"/>
      <c r="E5" s="567"/>
      <c r="F5" s="567"/>
      <c r="G5" s="567"/>
      <c r="H5" s="567"/>
      <c r="I5" s="567"/>
      <c r="J5" s="567"/>
    </row>
    <row r="6" spans="3:9" s="1" customFormat="1" ht="18" customHeight="1" thickBot="1">
      <c r="C6" s="53"/>
      <c r="D6" s="53"/>
      <c r="E6" s="53"/>
      <c r="F6" s="53"/>
      <c r="G6" s="53"/>
      <c r="H6" s="53"/>
      <c r="I6" s="53"/>
    </row>
    <row r="7" spans="1:22" ht="56.25" customHeight="1" thickTop="1">
      <c r="A7" s="17"/>
      <c r="B7" s="16"/>
      <c r="C7" s="41" t="s">
        <v>219</v>
      </c>
      <c r="D7" s="561" t="s">
        <v>294</v>
      </c>
      <c r="E7" s="562"/>
      <c r="F7" s="561" t="s">
        <v>216</v>
      </c>
      <c r="G7" s="562"/>
      <c r="H7" s="561" t="s">
        <v>204</v>
      </c>
      <c r="I7" s="568"/>
      <c r="J7" s="563" t="s">
        <v>220</v>
      </c>
      <c r="K7" s="54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6" customFormat="1" ht="15" customHeight="1">
      <c r="A8" s="18"/>
      <c r="B8" s="19"/>
      <c r="C8" s="42"/>
      <c r="D8" s="54" t="s">
        <v>206</v>
      </c>
      <c r="E8" s="54" t="s">
        <v>700</v>
      </c>
      <c r="F8" s="54" t="s">
        <v>206</v>
      </c>
      <c r="G8" s="54" t="s">
        <v>700</v>
      </c>
      <c r="H8" s="54" t="s">
        <v>206</v>
      </c>
      <c r="I8" s="54" t="s">
        <v>700</v>
      </c>
      <c r="J8" s="327" t="s">
        <v>207</v>
      </c>
      <c r="K8" s="242" t="s">
        <v>700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8" customFormat="1" ht="15" customHeight="1">
      <c r="A9" s="20"/>
      <c r="B9" s="21"/>
      <c r="C9" s="47" t="s">
        <v>221</v>
      </c>
      <c r="D9" s="55">
        <v>499755</v>
      </c>
      <c r="E9" s="56">
        <v>512717</v>
      </c>
      <c r="F9" s="56">
        <v>880615</v>
      </c>
      <c r="G9" s="56">
        <v>929649</v>
      </c>
      <c r="H9" s="56">
        <v>401233</v>
      </c>
      <c r="I9" s="56">
        <v>418691</v>
      </c>
      <c r="J9" s="43">
        <f aca="true" t="shared" si="0" ref="J9:J30">SUM(D9+F9+H9)</f>
        <v>1781603</v>
      </c>
      <c r="K9" s="398">
        <f>SUM(E9+G9+I9)</f>
        <v>1861057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5" customHeight="1">
      <c r="A10" s="20"/>
      <c r="B10" s="21"/>
      <c r="C10" s="25" t="s">
        <v>222</v>
      </c>
      <c r="D10" s="46">
        <v>137334</v>
      </c>
      <c r="E10" s="45">
        <v>140798</v>
      </c>
      <c r="F10" s="45">
        <v>227281</v>
      </c>
      <c r="G10" s="45">
        <v>243478</v>
      </c>
      <c r="H10" s="45">
        <v>110196</v>
      </c>
      <c r="I10" s="45">
        <v>114910</v>
      </c>
      <c r="J10" s="43">
        <f t="shared" si="0"/>
        <v>474811</v>
      </c>
      <c r="K10" s="398">
        <f aca="true" t="shared" si="1" ref="K10:K31">SUM(E10+G10+I10)</f>
        <v>499186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 customHeight="1">
      <c r="A11" s="17"/>
      <c r="B11" s="16"/>
      <c r="C11" s="10" t="s">
        <v>223</v>
      </c>
      <c r="D11" s="58">
        <v>687239</v>
      </c>
      <c r="E11" s="59">
        <v>836284</v>
      </c>
      <c r="F11" s="59">
        <v>390034</v>
      </c>
      <c r="G11" s="59">
        <v>402413</v>
      </c>
      <c r="H11" s="59">
        <v>244756</v>
      </c>
      <c r="I11" s="59">
        <v>244756</v>
      </c>
      <c r="J11" s="133">
        <f t="shared" si="0"/>
        <v>1322029</v>
      </c>
      <c r="K11" s="401">
        <f t="shared" si="1"/>
        <v>1483453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7"/>
      <c r="B12" s="16"/>
      <c r="C12" s="10" t="s">
        <v>224</v>
      </c>
      <c r="D12" s="58">
        <v>131528</v>
      </c>
      <c r="E12" s="59">
        <v>131528</v>
      </c>
      <c r="F12" s="59"/>
      <c r="G12" s="59"/>
      <c r="H12" s="59"/>
      <c r="I12" s="59"/>
      <c r="J12" s="133">
        <f t="shared" si="0"/>
        <v>131528</v>
      </c>
      <c r="K12" s="401">
        <f t="shared" si="1"/>
        <v>131528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8" customFormat="1" ht="15" customHeight="1">
      <c r="A13" s="20"/>
      <c r="B13" s="21"/>
      <c r="C13" s="60" t="s">
        <v>292</v>
      </c>
      <c r="D13" s="57">
        <f>SUM(D11:D12)</f>
        <v>818767</v>
      </c>
      <c r="E13" s="57">
        <f>SUM(E11:E12)</f>
        <v>967812</v>
      </c>
      <c r="F13" s="46">
        <f>SUM(F11+F12)</f>
        <v>390034</v>
      </c>
      <c r="G13" s="46">
        <f>SUM(G11+G12)</f>
        <v>402413</v>
      </c>
      <c r="H13" s="46">
        <f>SUM(H11+H12)</f>
        <v>244756</v>
      </c>
      <c r="I13" s="46">
        <f>SUM(I11+I12)</f>
        <v>244756</v>
      </c>
      <c r="J13" s="43">
        <f t="shared" si="0"/>
        <v>1453557</v>
      </c>
      <c r="K13" s="398">
        <f t="shared" si="1"/>
        <v>1614981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" customHeight="1">
      <c r="A14" s="20"/>
      <c r="B14" s="21"/>
      <c r="C14" s="61" t="s">
        <v>196</v>
      </c>
      <c r="D14" s="57">
        <f>SUM(D15:D16)</f>
        <v>623858</v>
      </c>
      <c r="E14" s="57">
        <f>SUM(E15:E16)</f>
        <v>656884</v>
      </c>
      <c r="F14" s="57">
        <f>SUM(F15:F16)</f>
        <v>0</v>
      </c>
      <c r="G14" s="57"/>
      <c r="H14" s="57">
        <f>SUM(H15:H16)</f>
        <v>1475</v>
      </c>
      <c r="I14" s="57">
        <f>SUM(I15:I16)</f>
        <v>1475</v>
      </c>
      <c r="J14" s="43">
        <f t="shared" si="0"/>
        <v>625333</v>
      </c>
      <c r="K14" s="398">
        <f t="shared" si="1"/>
        <v>658359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 customHeight="1">
      <c r="A15" s="17"/>
      <c r="B15" s="16"/>
      <c r="C15" s="62" t="s">
        <v>225</v>
      </c>
      <c r="D15" s="58">
        <v>250981</v>
      </c>
      <c r="E15" s="59">
        <v>271729</v>
      </c>
      <c r="F15" s="59"/>
      <c r="G15" s="59"/>
      <c r="H15" s="59">
        <v>1475</v>
      </c>
      <c r="I15" s="59">
        <v>1475</v>
      </c>
      <c r="J15" s="133">
        <f t="shared" si="0"/>
        <v>252456</v>
      </c>
      <c r="K15" s="401">
        <f t="shared" si="1"/>
        <v>273204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7"/>
      <c r="B16" s="16"/>
      <c r="C16" s="63" t="s">
        <v>226</v>
      </c>
      <c r="D16" s="58">
        <v>372877</v>
      </c>
      <c r="E16" s="59">
        <v>385155</v>
      </c>
      <c r="F16" s="59"/>
      <c r="G16" s="59"/>
      <c r="H16" s="59"/>
      <c r="I16" s="59"/>
      <c r="J16" s="133">
        <f t="shared" si="0"/>
        <v>372877</v>
      </c>
      <c r="K16" s="401">
        <f t="shared" si="1"/>
        <v>385155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8" customFormat="1" ht="15" customHeight="1">
      <c r="A17" s="20"/>
      <c r="B17" s="21"/>
      <c r="C17" s="25" t="s">
        <v>227</v>
      </c>
      <c r="D17" s="46">
        <v>223696</v>
      </c>
      <c r="E17" s="45">
        <v>224477</v>
      </c>
      <c r="F17" s="45"/>
      <c r="G17" s="45"/>
      <c r="H17" s="45"/>
      <c r="I17" s="45"/>
      <c r="J17" s="43">
        <f t="shared" si="0"/>
        <v>223696</v>
      </c>
      <c r="K17" s="398">
        <f t="shared" si="1"/>
        <v>224477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15" customHeight="1">
      <c r="A18" s="20"/>
      <c r="B18" s="21"/>
      <c r="C18" s="25" t="s">
        <v>228</v>
      </c>
      <c r="D18" s="46"/>
      <c r="E18" s="45"/>
      <c r="F18" s="45">
        <v>9378</v>
      </c>
      <c r="G18" s="45">
        <v>9378</v>
      </c>
      <c r="H18" s="45"/>
      <c r="I18" s="45"/>
      <c r="J18" s="43">
        <f t="shared" si="0"/>
        <v>9378</v>
      </c>
      <c r="K18" s="398">
        <f t="shared" si="1"/>
        <v>9378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5" customHeight="1">
      <c r="A19" s="20"/>
      <c r="B19" s="21"/>
      <c r="C19" s="25" t="s">
        <v>176</v>
      </c>
      <c r="D19" s="46">
        <v>195168</v>
      </c>
      <c r="E19" s="45">
        <v>192653</v>
      </c>
      <c r="F19" s="45">
        <v>17000</v>
      </c>
      <c r="G19" s="45">
        <v>17000</v>
      </c>
      <c r="H19" s="45">
        <v>0</v>
      </c>
      <c r="I19" s="45"/>
      <c r="J19" s="43">
        <f t="shared" si="0"/>
        <v>212168</v>
      </c>
      <c r="K19" s="398">
        <f t="shared" si="1"/>
        <v>209653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5" customHeight="1" thickBot="1">
      <c r="A20" s="22"/>
      <c r="B20" s="23"/>
      <c r="C20" s="25" t="s">
        <v>229</v>
      </c>
      <c r="D20" s="46">
        <v>4311281</v>
      </c>
      <c r="E20" s="45">
        <v>4517227</v>
      </c>
      <c r="F20" s="45">
        <v>2400</v>
      </c>
      <c r="G20" s="45">
        <v>6352</v>
      </c>
      <c r="H20" s="45">
        <v>0</v>
      </c>
      <c r="I20" s="45">
        <v>763</v>
      </c>
      <c r="J20" s="43">
        <f t="shared" si="0"/>
        <v>4313681</v>
      </c>
      <c r="K20" s="398">
        <f t="shared" si="1"/>
        <v>4524342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5" customHeight="1">
      <c r="A21" s="24"/>
      <c r="B21" s="24"/>
      <c r="C21" s="25" t="s">
        <v>363</v>
      </c>
      <c r="D21" s="57">
        <f>SUM(D22:D23)</f>
        <v>8500</v>
      </c>
      <c r="E21" s="57">
        <f>SUM(E22:E23)</f>
        <v>8500</v>
      </c>
      <c r="F21" s="46"/>
      <c r="G21" s="46"/>
      <c r="H21" s="46"/>
      <c r="I21" s="45"/>
      <c r="J21" s="43">
        <f t="shared" si="0"/>
        <v>8500</v>
      </c>
      <c r="K21" s="398">
        <f t="shared" si="1"/>
        <v>8500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5" customHeight="1">
      <c r="A22" s="24"/>
      <c r="B22" s="24"/>
      <c r="C22" s="10" t="s">
        <v>163</v>
      </c>
      <c r="D22" s="58">
        <v>7000</v>
      </c>
      <c r="E22" s="59">
        <v>7000</v>
      </c>
      <c r="F22" s="59"/>
      <c r="G22" s="59"/>
      <c r="H22" s="59"/>
      <c r="I22" s="59"/>
      <c r="J22" s="133">
        <f t="shared" si="0"/>
        <v>7000</v>
      </c>
      <c r="K22" s="401">
        <f t="shared" si="1"/>
        <v>7000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5" customHeight="1">
      <c r="A23" s="24"/>
      <c r="B23" s="24"/>
      <c r="C23" s="10" t="s">
        <v>164</v>
      </c>
      <c r="D23" s="58">
        <v>1500</v>
      </c>
      <c r="E23" s="59">
        <v>1500</v>
      </c>
      <c r="F23" s="59"/>
      <c r="G23" s="59"/>
      <c r="H23" s="59"/>
      <c r="I23" s="59"/>
      <c r="J23" s="133">
        <f t="shared" si="0"/>
        <v>1500</v>
      </c>
      <c r="K23" s="401">
        <f t="shared" si="1"/>
        <v>1500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15" customHeight="1">
      <c r="A24" s="24"/>
      <c r="B24" s="24"/>
      <c r="C24" s="25" t="s">
        <v>560</v>
      </c>
      <c r="D24" s="46"/>
      <c r="E24" s="45">
        <v>49753</v>
      </c>
      <c r="F24" s="59"/>
      <c r="G24" s="59"/>
      <c r="H24" s="59"/>
      <c r="I24" s="59"/>
      <c r="J24" s="43"/>
      <c r="K24" s="398">
        <f t="shared" si="1"/>
        <v>49753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5" customHeight="1">
      <c r="A25" s="24"/>
      <c r="B25" s="24"/>
      <c r="C25" s="25" t="s">
        <v>195</v>
      </c>
      <c r="D25" s="46">
        <v>13573</v>
      </c>
      <c r="E25" s="45">
        <v>13573</v>
      </c>
      <c r="F25" s="45"/>
      <c r="G25" s="45"/>
      <c r="H25" s="45"/>
      <c r="I25" s="45"/>
      <c r="J25" s="43">
        <f t="shared" si="0"/>
        <v>13573</v>
      </c>
      <c r="K25" s="398">
        <f t="shared" si="1"/>
        <v>13573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5" customHeight="1">
      <c r="A26" s="24"/>
      <c r="B26" s="24"/>
      <c r="C26" s="64" t="s">
        <v>253</v>
      </c>
      <c r="D26" s="57">
        <f>SUM(D27:D29)</f>
        <v>182393</v>
      </c>
      <c r="E26" s="57">
        <f>SUM(E27:E29)</f>
        <v>156246</v>
      </c>
      <c r="F26" s="57"/>
      <c r="G26" s="57"/>
      <c r="H26" s="57"/>
      <c r="I26" s="328"/>
      <c r="J26" s="43">
        <f t="shared" si="0"/>
        <v>182393</v>
      </c>
      <c r="K26" s="398">
        <f t="shared" si="1"/>
        <v>156246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5.75" customHeight="1">
      <c r="A27" s="24"/>
      <c r="B27" s="24"/>
      <c r="C27" s="10" t="s">
        <v>279</v>
      </c>
      <c r="D27" s="58">
        <v>15000</v>
      </c>
      <c r="E27" s="59">
        <v>13560</v>
      </c>
      <c r="F27" s="45"/>
      <c r="G27" s="45"/>
      <c r="H27" s="45"/>
      <c r="I27" s="45"/>
      <c r="J27" s="133">
        <f t="shared" si="0"/>
        <v>15000</v>
      </c>
      <c r="K27" s="401">
        <f t="shared" si="1"/>
        <v>13560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5" customHeight="1">
      <c r="A28" s="24"/>
      <c r="B28" s="24"/>
      <c r="C28" s="10" t="s">
        <v>214</v>
      </c>
      <c r="D28" s="58">
        <v>136900</v>
      </c>
      <c r="E28" s="59">
        <v>109537</v>
      </c>
      <c r="F28" s="45"/>
      <c r="G28" s="45"/>
      <c r="H28" s="45"/>
      <c r="I28" s="45"/>
      <c r="J28" s="133">
        <f t="shared" si="0"/>
        <v>136900</v>
      </c>
      <c r="K28" s="401">
        <f t="shared" si="1"/>
        <v>109537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5" customHeight="1">
      <c r="A29" s="24"/>
      <c r="B29" s="24"/>
      <c r="C29" s="80" t="s">
        <v>193</v>
      </c>
      <c r="D29" s="44">
        <v>30493</v>
      </c>
      <c r="E29" s="326">
        <v>33149</v>
      </c>
      <c r="F29" s="65"/>
      <c r="G29" s="65"/>
      <c r="H29" s="65"/>
      <c r="I29" s="65"/>
      <c r="J29" s="133">
        <f t="shared" si="0"/>
        <v>30493</v>
      </c>
      <c r="K29" s="401">
        <f t="shared" si="1"/>
        <v>33149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5" customHeight="1">
      <c r="A30" s="24"/>
      <c r="B30" s="24"/>
      <c r="C30" s="61" t="s">
        <v>362</v>
      </c>
      <c r="D30" s="157">
        <v>5879</v>
      </c>
      <c r="E30" s="65">
        <v>5879</v>
      </c>
      <c r="F30" s="65"/>
      <c r="G30" s="65"/>
      <c r="H30" s="65"/>
      <c r="I30" s="65"/>
      <c r="J30" s="43">
        <f t="shared" si="0"/>
        <v>5879</v>
      </c>
      <c r="K30" s="398">
        <f t="shared" si="1"/>
        <v>5879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5" customHeight="1">
      <c r="A31" s="24"/>
      <c r="B31" s="24"/>
      <c r="C31" s="60"/>
      <c r="D31" s="46"/>
      <c r="E31" s="46"/>
      <c r="F31" s="46"/>
      <c r="G31" s="46"/>
      <c r="H31" s="46"/>
      <c r="I31" s="45"/>
      <c r="J31" s="43"/>
      <c r="K31" s="398">
        <f t="shared" si="1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5" customHeight="1" thickBot="1">
      <c r="A32" s="24"/>
      <c r="B32" s="24"/>
      <c r="C32" s="186" t="s">
        <v>86</v>
      </c>
      <c r="D32" s="66">
        <f>SUM(D9+D10+D13+D14+D17+D18+D19+D20+D21+D24+D25+D26+D30)</f>
        <v>7020204</v>
      </c>
      <c r="E32" s="66">
        <f>SUM(E9+E10+E13+E14+E17+E18+E19+E20+E21+E24+E25+E26+E30)</f>
        <v>7446519</v>
      </c>
      <c r="F32" s="66">
        <f aca="true" t="shared" si="2" ref="F32:K32">SUM(F9+F10+F13+F14+F17+F18+F19+F20+F21+F24+F25+F26+F30)</f>
        <v>1526708</v>
      </c>
      <c r="G32" s="66">
        <f t="shared" si="2"/>
        <v>1608270</v>
      </c>
      <c r="H32" s="66">
        <f t="shared" si="2"/>
        <v>757660</v>
      </c>
      <c r="I32" s="66">
        <f t="shared" si="2"/>
        <v>780595</v>
      </c>
      <c r="J32" s="66">
        <f>SUM(J9+J10+J13+J14+J17+J18+J19+J20+J21+J24+J25+J26+J30)</f>
        <v>9304572</v>
      </c>
      <c r="K32" s="400">
        <f t="shared" si="2"/>
        <v>9835384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="1" customFormat="1" ht="25.5" customHeight="1" thickTop="1"/>
    <row r="34" s="1" customFormat="1" ht="25.5" customHeight="1"/>
    <row r="35" spans="3:22" ht="25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3:22" ht="25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3:22" ht="25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3:22" ht="25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3:22" ht="25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3:22" ht="25.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2" ht="25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2" ht="25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3:22" ht="25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 ht="25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3:22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3:22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3:22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9" ht="25.5" customHeight="1">
      <c r="C59" s="1"/>
      <c r="D59" s="1"/>
      <c r="E59" s="1"/>
      <c r="F59" s="1"/>
      <c r="G59" s="1"/>
      <c r="H59" s="1"/>
      <c r="I59" s="1"/>
    </row>
    <row r="60" spans="3:9" ht="25.5" customHeight="1">
      <c r="C60" s="1"/>
      <c r="D60" s="1"/>
      <c r="E60" s="1"/>
      <c r="F60" s="1"/>
      <c r="G60" s="1"/>
      <c r="H60" s="1"/>
      <c r="I60" s="1"/>
    </row>
    <row r="61" spans="3:9" ht="25.5" customHeight="1">
      <c r="C61" s="1"/>
      <c r="D61" s="1"/>
      <c r="E61" s="1"/>
      <c r="F61" s="1"/>
      <c r="G61" s="1"/>
      <c r="H61" s="1"/>
      <c r="I61" s="1"/>
    </row>
    <row r="62" spans="3:9" ht="25.5" customHeight="1">
      <c r="C62" s="1"/>
      <c r="D62" s="1"/>
      <c r="E62" s="1"/>
      <c r="F62" s="1"/>
      <c r="G62" s="1"/>
      <c r="H62" s="1"/>
      <c r="I62" s="1"/>
    </row>
    <row r="63" spans="3:9" ht="25.5" customHeight="1">
      <c r="C63" s="1"/>
      <c r="D63" s="1"/>
      <c r="E63" s="1"/>
      <c r="F63" s="1"/>
      <c r="G63" s="1"/>
      <c r="H63" s="1"/>
      <c r="I63" s="1"/>
    </row>
    <row r="64" spans="3:9" ht="25.5" customHeight="1">
      <c r="C64" s="1"/>
      <c r="D64" s="1"/>
      <c r="E64" s="1"/>
      <c r="F64" s="1"/>
      <c r="G64" s="1"/>
      <c r="H64" s="1"/>
      <c r="I64" s="1"/>
    </row>
    <row r="65" spans="3:9" ht="25.5" customHeight="1">
      <c r="C65" s="1"/>
      <c r="D65" s="1"/>
      <c r="E65" s="1"/>
      <c r="F65" s="1"/>
      <c r="G65" s="1"/>
      <c r="H65" s="1"/>
      <c r="I65" s="1"/>
    </row>
    <row r="66" spans="3:9" ht="25.5" customHeight="1">
      <c r="C66" s="1"/>
      <c r="D66" s="1"/>
      <c r="E66" s="1"/>
      <c r="F66" s="1"/>
      <c r="G66" s="1"/>
      <c r="H66" s="1"/>
      <c r="I66" s="1"/>
    </row>
    <row r="67" spans="3:9" ht="25.5" customHeight="1">
      <c r="C67" s="1"/>
      <c r="D67" s="1"/>
      <c r="E67" s="1"/>
      <c r="F67" s="1"/>
      <c r="G67" s="1"/>
      <c r="H67" s="1"/>
      <c r="I67" s="1"/>
    </row>
    <row r="68" spans="3:9" ht="25.5" customHeight="1">
      <c r="C68" s="1"/>
      <c r="D68" s="1"/>
      <c r="E68" s="1"/>
      <c r="F68" s="1"/>
      <c r="G68" s="1"/>
      <c r="H68" s="1"/>
      <c r="I68" s="1"/>
    </row>
    <row r="69" spans="3:9" ht="25.5" customHeight="1">
      <c r="C69" s="1"/>
      <c r="D69" s="1"/>
      <c r="E69" s="1"/>
      <c r="F69" s="1"/>
      <c r="G69" s="1"/>
      <c r="H69" s="1"/>
      <c r="I69" s="1"/>
    </row>
    <row r="70" spans="3:9" ht="25.5" customHeight="1">
      <c r="C70" s="1"/>
      <c r="D70" s="1"/>
      <c r="E70" s="1"/>
      <c r="F70" s="1"/>
      <c r="G70" s="1"/>
      <c r="H70" s="1"/>
      <c r="I70" s="1"/>
    </row>
    <row r="71" spans="3:9" ht="25.5" customHeight="1">
      <c r="C71" s="1"/>
      <c r="D71" s="1"/>
      <c r="E71" s="1"/>
      <c r="F71" s="1"/>
      <c r="G71" s="1"/>
      <c r="H71" s="1"/>
      <c r="I71" s="1"/>
    </row>
    <row r="72" spans="3:9" ht="25.5" customHeight="1">
      <c r="C72" s="1"/>
      <c r="D72" s="1"/>
      <c r="E72" s="1"/>
      <c r="F72" s="1"/>
      <c r="G72" s="1"/>
      <c r="H72" s="1"/>
      <c r="I72" s="1"/>
    </row>
    <row r="73" spans="3:9" ht="25.5" customHeight="1">
      <c r="C73" s="1"/>
      <c r="D73" s="1"/>
      <c r="E73" s="1"/>
      <c r="F73" s="1"/>
      <c r="G73" s="1"/>
      <c r="H73" s="1"/>
      <c r="I73" s="1"/>
    </row>
    <row r="74" spans="3:9" ht="25.5" customHeight="1">
      <c r="C74" s="1"/>
      <c r="D74" s="1"/>
      <c r="E74" s="1"/>
      <c r="F74" s="1"/>
      <c r="G74" s="1"/>
      <c r="H74" s="1"/>
      <c r="I74" s="1"/>
    </row>
    <row r="75" spans="3:9" ht="25.5" customHeight="1">
      <c r="C75" s="1"/>
      <c r="D75" s="1"/>
      <c r="E75" s="1"/>
      <c r="F75" s="1"/>
      <c r="G75" s="1"/>
      <c r="H75" s="1"/>
      <c r="I75" s="1"/>
    </row>
    <row r="76" spans="3:9" ht="25.5" customHeight="1">
      <c r="C76" s="1"/>
      <c r="D76" s="1"/>
      <c r="E76" s="1"/>
      <c r="F76" s="1"/>
      <c r="G76" s="1"/>
      <c r="H76" s="1"/>
      <c r="I76" s="1"/>
    </row>
    <row r="77" spans="3:9" ht="25.5" customHeight="1">
      <c r="C77" s="1"/>
      <c r="D77" s="1"/>
      <c r="E77" s="1"/>
      <c r="F77" s="1"/>
      <c r="G77" s="1"/>
      <c r="H77" s="1"/>
      <c r="I77" s="1"/>
    </row>
    <row r="78" spans="3:9" ht="25.5" customHeight="1">
      <c r="C78" s="1"/>
      <c r="D78" s="1"/>
      <c r="E78" s="1"/>
      <c r="F78" s="1"/>
      <c r="G78" s="1"/>
      <c r="H78" s="1"/>
      <c r="I78" s="1"/>
    </row>
    <row r="79" spans="3:9" ht="25.5" customHeight="1">
      <c r="C79" s="1"/>
      <c r="D79" s="1"/>
      <c r="E79" s="1"/>
      <c r="F79" s="1"/>
      <c r="G79" s="1"/>
      <c r="H79" s="1"/>
      <c r="I79" s="1"/>
    </row>
    <row r="80" spans="3:9" ht="25.5" customHeight="1">
      <c r="C80" s="1"/>
      <c r="D80" s="1"/>
      <c r="E80" s="1"/>
      <c r="F80" s="1"/>
      <c r="G80" s="1"/>
      <c r="H80" s="1"/>
      <c r="I80" s="1"/>
    </row>
    <row r="81" spans="3:9" ht="25.5" customHeight="1">
      <c r="C81" s="1"/>
      <c r="D81" s="1"/>
      <c r="E81" s="1"/>
      <c r="F81" s="1"/>
      <c r="G81" s="1"/>
      <c r="H81" s="1"/>
      <c r="I81" s="1"/>
    </row>
    <row r="82" spans="3:9" ht="25.5" customHeight="1">
      <c r="C82" s="1"/>
      <c r="D82" s="1"/>
      <c r="E82" s="1"/>
      <c r="F82" s="1"/>
      <c r="G82" s="1"/>
      <c r="H82" s="1"/>
      <c r="I82" s="1"/>
    </row>
    <row r="83" spans="3:9" ht="25.5" customHeight="1">
      <c r="C83" s="1"/>
      <c r="D83" s="1"/>
      <c r="E83" s="1"/>
      <c r="F83" s="1"/>
      <c r="G83" s="1"/>
      <c r="H83" s="1"/>
      <c r="I83" s="1"/>
    </row>
    <row r="84" spans="3:9" ht="25.5" customHeight="1">
      <c r="C84" s="1"/>
      <c r="D84" s="1"/>
      <c r="E84" s="1"/>
      <c r="F84" s="1"/>
      <c r="G84" s="1"/>
      <c r="H84" s="1"/>
      <c r="I84" s="1"/>
    </row>
    <row r="85" spans="3:9" ht="25.5" customHeight="1">
      <c r="C85" s="1"/>
      <c r="D85" s="1"/>
      <c r="E85" s="1"/>
      <c r="F85" s="1"/>
      <c r="G85" s="1"/>
      <c r="H85" s="1"/>
      <c r="I85" s="1"/>
    </row>
    <row r="86" spans="3:9" ht="25.5" customHeight="1">
      <c r="C86" s="1"/>
      <c r="D86" s="1"/>
      <c r="E86" s="1"/>
      <c r="F86" s="1"/>
      <c r="G86" s="1"/>
      <c r="H86" s="1"/>
      <c r="I86" s="1"/>
    </row>
    <row r="87" spans="3:9" ht="25.5" customHeight="1">
      <c r="C87" s="1"/>
      <c r="D87" s="1"/>
      <c r="E87" s="1"/>
      <c r="F87" s="1"/>
      <c r="G87" s="1"/>
      <c r="H87" s="1"/>
      <c r="I87" s="1"/>
    </row>
    <row r="88" spans="3:9" ht="25.5" customHeight="1">
      <c r="C88" s="1"/>
      <c r="D88" s="1"/>
      <c r="E88" s="1"/>
      <c r="F88" s="1"/>
      <c r="G88" s="1"/>
      <c r="H88" s="1"/>
      <c r="I88" s="1"/>
    </row>
    <row r="89" spans="3:9" ht="25.5" customHeight="1">
      <c r="C89" s="1"/>
      <c r="D89" s="1"/>
      <c r="E89" s="1"/>
      <c r="F89" s="1"/>
      <c r="G89" s="1"/>
      <c r="H89" s="1"/>
      <c r="I89" s="1"/>
    </row>
    <row r="90" spans="3:9" ht="25.5" customHeight="1">
      <c r="C90" s="1"/>
      <c r="D90" s="1"/>
      <c r="E90" s="1"/>
      <c r="F90" s="1"/>
      <c r="G90" s="1"/>
      <c r="H90" s="1"/>
      <c r="I90" s="1"/>
    </row>
    <row r="91" spans="3:9" ht="25.5" customHeight="1">
      <c r="C91" s="1"/>
      <c r="D91" s="1"/>
      <c r="E91" s="1"/>
      <c r="F91" s="1"/>
      <c r="G91" s="1"/>
      <c r="H91" s="1"/>
      <c r="I91" s="1"/>
    </row>
    <row r="92" spans="3:9" ht="25.5" customHeight="1">
      <c r="C92" s="1"/>
      <c r="D92" s="1"/>
      <c r="E92" s="1"/>
      <c r="F92" s="1"/>
      <c r="G92" s="1"/>
      <c r="H92" s="1"/>
      <c r="I92" s="1"/>
    </row>
    <row r="93" spans="3:9" ht="25.5" customHeight="1">
      <c r="C93" s="1"/>
      <c r="D93" s="1"/>
      <c r="E93" s="1"/>
      <c r="F93" s="1"/>
      <c r="G93" s="1"/>
      <c r="H93" s="1"/>
      <c r="I93" s="1"/>
    </row>
    <row r="94" spans="3:9" ht="25.5" customHeight="1">
      <c r="C94" s="1"/>
      <c r="D94" s="1"/>
      <c r="E94" s="1"/>
      <c r="F94" s="1"/>
      <c r="G94" s="1"/>
      <c r="H94" s="1"/>
      <c r="I94" s="1"/>
    </row>
    <row r="95" spans="3:9" ht="25.5" customHeight="1">
      <c r="C95" s="1"/>
      <c r="D95" s="1"/>
      <c r="E95" s="1"/>
      <c r="F95" s="1"/>
      <c r="G95" s="1"/>
      <c r="H95" s="1"/>
      <c r="I95" s="1"/>
    </row>
    <row r="96" spans="3:9" ht="25.5" customHeight="1">
      <c r="C96" s="1"/>
      <c r="D96" s="1"/>
      <c r="E96" s="1"/>
      <c r="F96" s="1"/>
      <c r="G96" s="1"/>
      <c r="H96" s="1"/>
      <c r="I96" s="1"/>
    </row>
    <row r="97" spans="3:9" ht="25.5" customHeight="1">
      <c r="C97" s="1"/>
      <c r="D97" s="1"/>
      <c r="E97" s="1"/>
      <c r="F97" s="1"/>
      <c r="G97" s="1"/>
      <c r="H97" s="1"/>
      <c r="I97" s="1"/>
    </row>
    <row r="98" spans="3:9" ht="25.5" customHeight="1">
      <c r="C98" s="1"/>
      <c r="D98" s="1"/>
      <c r="E98" s="1"/>
      <c r="F98" s="1"/>
      <c r="G98" s="1"/>
      <c r="H98" s="1"/>
      <c r="I98" s="1"/>
    </row>
    <row r="99" spans="3:9" ht="25.5" customHeight="1">
      <c r="C99" s="1"/>
      <c r="D99" s="1"/>
      <c r="E99" s="1"/>
      <c r="F99" s="1"/>
      <c r="G99" s="1"/>
      <c r="H99" s="1"/>
      <c r="I99" s="1"/>
    </row>
    <row r="100" spans="3:9" ht="25.5" customHeight="1">
      <c r="C100" s="1"/>
      <c r="D100" s="1"/>
      <c r="E100" s="1"/>
      <c r="F100" s="1"/>
      <c r="G100" s="1"/>
      <c r="H100" s="1"/>
      <c r="I100" s="1"/>
    </row>
    <row r="101" spans="3:9" ht="25.5" customHeight="1">
      <c r="C101" s="1"/>
      <c r="D101" s="1"/>
      <c r="E101" s="1"/>
      <c r="F101" s="1"/>
      <c r="G101" s="1"/>
      <c r="H101" s="1"/>
      <c r="I101" s="1"/>
    </row>
    <row r="102" spans="3:9" ht="25.5" customHeight="1">
      <c r="C102" s="1"/>
      <c r="D102" s="1"/>
      <c r="E102" s="1"/>
      <c r="F102" s="1"/>
      <c r="G102" s="1"/>
      <c r="H102" s="1"/>
      <c r="I102" s="1"/>
    </row>
    <row r="103" spans="3:9" ht="25.5" customHeight="1">
      <c r="C103" s="1"/>
      <c r="D103" s="1"/>
      <c r="E103" s="1"/>
      <c r="F103" s="1"/>
      <c r="G103" s="1"/>
      <c r="H103" s="1"/>
      <c r="I103" s="1"/>
    </row>
    <row r="104" spans="3:9" ht="25.5" customHeight="1">
      <c r="C104" s="1"/>
      <c r="D104" s="1"/>
      <c r="E104" s="1"/>
      <c r="F104" s="1"/>
      <c r="G104" s="1"/>
      <c r="H104" s="1"/>
      <c r="I104" s="1"/>
    </row>
    <row r="105" spans="3:9" ht="25.5" customHeight="1">
      <c r="C105" s="1"/>
      <c r="D105" s="1"/>
      <c r="E105" s="1"/>
      <c r="F105" s="1"/>
      <c r="G105" s="1"/>
      <c r="H105" s="1"/>
      <c r="I105" s="1"/>
    </row>
    <row r="106" spans="3:9" ht="25.5" customHeight="1">
      <c r="C106" s="1"/>
      <c r="D106" s="1"/>
      <c r="E106" s="1"/>
      <c r="F106" s="1"/>
      <c r="G106" s="1"/>
      <c r="H106" s="1"/>
      <c r="I106" s="1"/>
    </row>
    <row r="107" spans="3:9" ht="25.5" customHeight="1">
      <c r="C107" s="1"/>
      <c r="D107" s="1"/>
      <c r="E107" s="1"/>
      <c r="F107" s="1"/>
      <c r="G107" s="1"/>
      <c r="H107" s="1"/>
      <c r="I107" s="1"/>
    </row>
    <row r="108" spans="3:9" ht="25.5" customHeight="1">
      <c r="C108" s="1"/>
      <c r="D108" s="1"/>
      <c r="E108" s="1"/>
      <c r="F108" s="1"/>
      <c r="G108" s="1"/>
      <c r="H108" s="1"/>
      <c r="I108" s="1"/>
    </row>
    <row r="109" spans="3:9" ht="25.5" customHeight="1">
      <c r="C109" s="1"/>
      <c r="D109" s="1"/>
      <c r="E109" s="1"/>
      <c r="F109" s="1"/>
      <c r="G109" s="1"/>
      <c r="H109" s="1"/>
      <c r="I109" s="1"/>
    </row>
    <row r="110" spans="3:9" ht="25.5" customHeight="1">
      <c r="C110" s="1"/>
      <c r="D110" s="1"/>
      <c r="E110" s="1"/>
      <c r="F110" s="1"/>
      <c r="G110" s="1"/>
      <c r="H110" s="1"/>
      <c r="I110" s="1"/>
    </row>
    <row r="111" spans="3:9" ht="25.5" customHeight="1">
      <c r="C111" s="1"/>
      <c r="D111" s="1"/>
      <c r="E111" s="1"/>
      <c r="F111" s="1"/>
      <c r="G111" s="1"/>
      <c r="H111" s="1"/>
      <c r="I111" s="1"/>
    </row>
    <row r="112" spans="3:9" ht="25.5" customHeight="1">
      <c r="C112" s="1"/>
      <c r="D112" s="1"/>
      <c r="E112" s="1"/>
      <c r="F112" s="1"/>
      <c r="G112" s="1"/>
      <c r="H112" s="1"/>
      <c r="I112" s="1"/>
    </row>
    <row r="113" spans="3:9" ht="25.5" customHeight="1">
      <c r="C113" s="1"/>
      <c r="D113" s="1"/>
      <c r="E113" s="1"/>
      <c r="F113" s="1"/>
      <c r="G113" s="1"/>
      <c r="H113" s="1"/>
      <c r="I113" s="1"/>
    </row>
    <row r="114" spans="3:9" ht="25.5" customHeight="1">
      <c r="C114" s="1"/>
      <c r="D114" s="1"/>
      <c r="E114" s="1"/>
      <c r="F114" s="1"/>
      <c r="G114" s="1"/>
      <c r="H114" s="1"/>
      <c r="I114" s="1"/>
    </row>
    <row r="115" spans="3:9" ht="25.5" customHeight="1">
      <c r="C115" s="1"/>
      <c r="D115" s="1"/>
      <c r="E115" s="1"/>
      <c r="F115" s="1"/>
      <c r="G115" s="1"/>
      <c r="H115" s="1"/>
      <c r="I115" s="1"/>
    </row>
    <row r="116" spans="3:9" ht="25.5" customHeight="1">
      <c r="C116" s="1"/>
      <c r="D116" s="1"/>
      <c r="E116" s="1"/>
      <c r="F116" s="1"/>
      <c r="G116" s="1"/>
      <c r="H116" s="1"/>
      <c r="I116" s="1"/>
    </row>
    <row r="117" spans="3:9" ht="25.5" customHeight="1">
      <c r="C117" s="1"/>
      <c r="D117" s="1"/>
      <c r="E117" s="1"/>
      <c r="F117" s="1"/>
      <c r="G117" s="1"/>
      <c r="H117" s="1"/>
      <c r="I117" s="1"/>
    </row>
    <row r="118" spans="3:9" ht="25.5" customHeight="1">
      <c r="C118" s="1"/>
      <c r="D118" s="1"/>
      <c r="E118" s="1"/>
      <c r="F118" s="1"/>
      <c r="G118" s="1"/>
      <c r="H118" s="1"/>
      <c r="I118" s="1"/>
    </row>
    <row r="119" spans="3:9" ht="25.5" customHeight="1">
      <c r="C119" s="1"/>
      <c r="D119" s="1"/>
      <c r="E119" s="1"/>
      <c r="F119" s="1"/>
      <c r="G119" s="1"/>
      <c r="H119" s="1"/>
      <c r="I119" s="1"/>
    </row>
    <row r="120" spans="3:9" ht="25.5" customHeight="1">
      <c r="C120" s="1"/>
      <c r="D120" s="1"/>
      <c r="E120" s="1"/>
      <c r="F120" s="1"/>
      <c r="G120" s="1"/>
      <c r="H120" s="1"/>
      <c r="I120" s="1"/>
    </row>
    <row r="121" spans="3:9" ht="25.5" customHeight="1">
      <c r="C121" s="1"/>
      <c r="D121" s="1"/>
      <c r="E121" s="1"/>
      <c r="F121" s="1"/>
      <c r="G121" s="1"/>
      <c r="H121" s="1"/>
      <c r="I121" s="1"/>
    </row>
    <row r="122" spans="3:9" ht="25.5" customHeight="1">
      <c r="C122" s="1"/>
      <c r="D122" s="1"/>
      <c r="E122" s="1"/>
      <c r="F122" s="1"/>
      <c r="G122" s="1"/>
      <c r="H122" s="1"/>
      <c r="I122" s="1"/>
    </row>
    <row r="123" spans="3:9" ht="25.5" customHeight="1">
      <c r="C123" s="1"/>
      <c r="D123" s="1"/>
      <c r="E123" s="1"/>
      <c r="F123" s="1"/>
      <c r="G123" s="1"/>
      <c r="H123" s="1"/>
      <c r="I123" s="1"/>
    </row>
    <row r="124" spans="3:9" ht="25.5" customHeight="1">
      <c r="C124" s="1"/>
      <c r="D124" s="1"/>
      <c r="E124" s="1"/>
      <c r="F124" s="1"/>
      <c r="G124" s="1"/>
      <c r="H124" s="1"/>
      <c r="I124" s="1"/>
    </row>
    <row r="125" spans="3:9" ht="25.5" customHeight="1">
      <c r="C125" s="1"/>
      <c r="D125" s="1"/>
      <c r="E125" s="1"/>
      <c r="F125" s="1"/>
      <c r="G125" s="1"/>
      <c r="H125" s="1"/>
      <c r="I125" s="1"/>
    </row>
    <row r="126" spans="3:9" ht="25.5" customHeight="1">
      <c r="C126" s="1"/>
      <c r="D126" s="1"/>
      <c r="E126" s="1"/>
      <c r="F126" s="1"/>
      <c r="G126" s="1"/>
      <c r="H126" s="1"/>
      <c r="I126" s="1"/>
    </row>
    <row r="127" spans="3:9" ht="25.5" customHeight="1">
      <c r="C127" s="1"/>
      <c r="D127" s="1"/>
      <c r="E127" s="1"/>
      <c r="F127" s="1"/>
      <c r="G127" s="1"/>
      <c r="H127" s="1"/>
      <c r="I127" s="1"/>
    </row>
    <row r="128" spans="3:9" ht="25.5" customHeight="1">
      <c r="C128" s="1"/>
      <c r="D128" s="1"/>
      <c r="E128" s="1"/>
      <c r="F128" s="1"/>
      <c r="G128" s="1"/>
      <c r="H128" s="1"/>
      <c r="I128" s="1"/>
    </row>
    <row r="129" spans="3:9" ht="25.5" customHeight="1">
      <c r="C129" s="1"/>
      <c r="D129" s="1"/>
      <c r="E129" s="1"/>
      <c r="F129" s="1"/>
      <c r="G129" s="1"/>
      <c r="H129" s="1"/>
      <c r="I129" s="1"/>
    </row>
    <row r="130" spans="3:9" ht="25.5" customHeight="1">
      <c r="C130" s="1"/>
      <c r="D130" s="1"/>
      <c r="E130" s="1"/>
      <c r="F130" s="1"/>
      <c r="G130" s="1"/>
      <c r="H130" s="1"/>
      <c r="I130" s="1"/>
    </row>
    <row r="131" spans="3:9" ht="25.5" customHeight="1">
      <c r="C131" s="1"/>
      <c r="D131" s="1"/>
      <c r="E131" s="1"/>
      <c r="F131" s="1"/>
      <c r="G131" s="1"/>
      <c r="H131" s="1"/>
      <c r="I131" s="1"/>
    </row>
    <row r="132" spans="3:9" ht="25.5" customHeight="1">
      <c r="C132" s="1"/>
      <c r="D132" s="1"/>
      <c r="E132" s="1"/>
      <c r="F132" s="1"/>
      <c r="G132" s="1"/>
      <c r="H132" s="1"/>
      <c r="I132" s="1"/>
    </row>
    <row r="133" spans="3:9" ht="25.5" customHeight="1">
      <c r="C133" s="1"/>
      <c r="D133" s="1"/>
      <c r="E133" s="1"/>
      <c r="F133" s="1"/>
      <c r="G133" s="1"/>
      <c r="H133" s="1"/>
      <c r="I133" s="1"/>
    </row>
    <row r="134" spans="3:9" ht="25.5" customHeight="1">
      <c r="C134" s="1"/>
      <c r="D134" s="1"/>
      <c r="E134" s="1"/>
      <c r="F134" s="1"/>
      <c r="G134" s="1"/>
      <c r="H134" s="1"/>
      <c r="I134" s="1"/>
    </row>
    <row r="135" spans="3:9" ht="25.5" customHeight="1">
      <c r="C135" s="1"/>
      <c r="D135" s="1"/>
      <c r="E135" s="1"/>
      <c r="F135" s="1"/>
      <c r="G135" s="1"/>
      <c r="H135" s="1"/>
      <c r="I135" s="1"/>
    </row>
    <row r="136" spans="3:9" ht="25.5" customHeight="1">
      <c r="C136" s="1"/>
      <c r="D136" s="1"/>
      <c r="E136" s="1"/>
      <c r="F136" s="1"/>
      <c r="G136" s="1"/>
      <c r="H136" s="1"/>
      <c r="I136" s="1"/>
    </row>
    <row r="137" spans="3:9" ht="25.5" customHeight="1">
      <c r="C137" s="1"/>
      <c r="D137" s="1"/>
      <c r="E137" s="1"/>
      <c r="F137" s="1"/>
      <c r="G137" s="1"/>
      <c r="H137" s="1"/>
      <c r="I137" s="1"/>
    </row>
    <row r="138" spans="3:9" ht="25.5" customHeight="1">
      <c r="C138" s="1"/>
      <c r="D138" s="1"/>
      <c r="E138" s="1"/>
      <c r="F138" s="1"/>
      <c r="G138" s="1"/>
      <c r="H138" s="1"/>
      <c r="I138" s="1"/>
    </row>
    <row r="139" spans="3:9" ht="25.5" customHeight="1">
      <c r="C139" s="1"/>
      <c r="D139" s="1"/>
      <c r="E139" s="1"/>
      <c r="F139" s="1"/>
      <c r="G139" s="1"/>
      <c r="H139" s="1"/>
      <c r="I139" s="1"/>
    </row>
    <row r="140" spans="3:9" ht="25.5" customHeight="1">
      <c r="C140" s="1"/>
      <c r="D140" s="1"/>
      <c r="E140" s="1"/>
      <c r="F140" s="1"/>
      <c r="G140" s="1"/>
      <c r="H140" s="1"/>
      <c r="I140" s="1"/>
    </row>
    <row r="141" spans="3:9" ht="25.5" customHeight="1">
      <c r="C141" s="1"/>
      <c r="D141" s="1"/>
      <c r="E141" s="1"/>
      <c r="F141" s="1"/>
      <c r="G141" s="1"/>
      <c r="H141" s="1"/>
      <c r="I141" s="1"/>
    </row>
    <row r="142" spans="3:9" ht="25.5" customHeight="1">
      <c r="C142" s="1"/>
      <c r="D142" s="1"/>
      <c r="E142" s="1"/>
      <c r="F142" s="1"/>
      <c r="G142" s="1"/>
      <c r="H142" s="1"/>
      <c r="I142" s="1"/>
    </row>
    <row r="143" spans="3:9" ht="25.5" customHeight="1">
      <c r="C143" s="1"/>
      <c r="D143" s="1"/>
      <c r="E143" s="1"/>
      <c r="F143" s="1"/>
      <c r="G143" s="1"/>
      <c r="H143" s="1"/>
      <c r="I143" s="1"/>
    </row>
    <row r="144" spans="3:9" ht="25.5" customHeight="1">
      <c r="C144" s="1"/>
      <c r="D144" s="1"/>
      <c r="E144" s="1"/>
      <c r="F144" s="1"/>
      <c r="G144" s="1"/>
      <c r="H144" s="1"/>
      <c r="I144" s="1"/>
    </row>
    <row r="145" spans="3:9" ht="25.5" customHeight="1">
      <c r="C145" s="1"/>
      <c r="D145" s="1"/>
      <c r="E145" s="1"/>
      <c r="F145" s="1"/>
      <c r="G145" s="1"/>
      <c r="H145" s="1"/>
      <c r="I145" s="1"/>
    </row>
    <row r="146" spans="3:9" ht="25.5" customHeight="1">
      <c r="C146" s="1"/>
      <c r="D146" s="1"/>
      <c r="E146" s="1"/>
      <c r="F146" s="1"/>
      <c r="G146" s="1"/>
      <c r="H146" s="1"/>
      <c r="I146" s="1"/>
    </row>
    <row r="147" spans="3:9" ht="25.5" customHeight="1">
      <c r="C147" s="1"/>
      <c r="D147" s="1"/>
      <c r="E147" s="1"/>
      <c r="F147" s="1"/>
      <c r="G147" s="1"/>
      <c r="H147" s="1"/>
      <c r="I147" s="1"/>
    </row>
    <row r="148" spans="3:9" ht="25.5" customHeight="1">
      <c r="C148" s="1"/>
      <c r="D148" s="1"/>
      <c r="E148" s="1"/>
      <c r="F148" s="1"/>
      <c r="G148" s="1"/>
      <c r="H148" s="1"/>
      <c r="I148" s="1"/>
    </row>
    <row r="149" spans="3:9" ht="25.5" customHeight="1">
      <c r="C149" s="1"/>
      <c r="D149" s="1"/>
      <c r="E149" s="1"/>
      <c r="F149" s="1"/>
      <c r="G149" s="1"/>
      <c r="H149" s="1"/>
      <c r="I149" s="1"/>
    </row>
    <row r="150" spans="3:9" ht="25.5" customHeight="1">
      <c r="C150" s="1"/>
      <c r="D150" s="1"/>
      <c r="E150" s="1"/>
      <c r="F150" s="1"/>
      <c r="G150" s="1"/>
      <c r="H150" s="1"/>
      <c r="I150" s="1"/>
    </row>
    <row r="151" spans="3:9" ht="25.5" customHeight="1">
      <c r="C151" s="1"/>
      <c r="D151" s="1"/>
      <c r="E151" s="1"/>
      <c r="F151" s="1"/>
      <c r="G151" s="1"/>
      <c r="H151" s="1"/>
      <c r="I151" s="1"/>
    </row>
    <row r="152" spans="3:9" ht="25.5" customHeight="1">
      <c r="C152" s="1"/>
      <c r="D152" s="1"/>
      <c r="E152" s="1"/>
      <c r="F152" s="1"/>
      <c r="G152" s="1"/>
      <c r="H152" s="1"/>
      <c r="I152" s="1"/>
    </row>
    <row r="153" spans="3:9" ht="25.5" customHeight="1">
      <c r="C153" s="1"/>
      <c r="D153" s="1"/>
      <c r="E153" s="1"/>
      <c r="F153" s="1"/>
      <c r="G153" s="1"/>
      <c r="H153" s="1"/>
      <c r="I153" s="1"/>
    </row>
    <row r="154" spans="3:9" ht="25.5" customHeight="1">
      <c r="C154" s="1"/>
      <c r="D154" s="1"/>
      <c r="E154" s="1"/>
      <c r="F154" s="1"/>
      <c r="G154" s="1"/>
      <c r="H154" s="1"/>
      <c r="I154" s="1"/>
    </row>
    <row r="155" spans="3:9" ht="25.5" customHeight="1">
      <c r="C155" s="1"/>
      <c r="D155" s="1"/>
      <c r="E155" s="1"/>
      <c r="F155" s="1"/>
      <c r="G155" s="1"/>
      <c r="H155" s="1"/>
      <c r="I155" s="1"/>
    </row>
    <row r="156" spans="3:9" ht="25.5" customHeight="1">
      <c r="C156" s="1"/>
      <c r="D156" s="1"/>
      <c r="E156" s="1"/>
      <c r="F156" s="1"/>
      <c r="G156" s="1"/>
      <c r="H156" s="1"/>
      <c r="I156" s="1"/>
    </row>
    <row r="157" spans="3:9" ht="25.5" customHeight="1">
      <c r="C157" s="1"/>
      <c r="D157" s="1"/>
      <c r="E157" s="1"/>
      <c r="F157" s="1"/>
      <c r="G157" s="1"/>
      <c r="H157" s="1"/>
      <c r="I157" s="1"/>
    </row>
    <row r="158" spans="3:9" ht="25.5" customHeight="1">
      <c r="C158" s="1"/>
      <c r="D158" s="1"/>
      <c r="E158" s="1"/>
      <c r="F158" s="1"/>
      <c r="G158" s="1"/>
      <c r="H158" s="1"/>
      <c r="I158" s="1"/>
    </row>
    <row r="159" spans="3:9" ht="25.5" customHeight="1">
      <c r="C159" s="1"/>
      <c r="D159" s="1"/>
      <c r="E159" s="1"/>
      <c r="F159" s="1"/>
      <c r="G159" s="1"/>
      <c r="H159" s="1"/>
      <c r="I159" s="1"/>
    </row>
    <row r="160" spans="3:9" ht="25.5" customHeight="1">
      <c r="C160" s="1"/>
      <c r="D160" s="1"/>
      <c r="E160" s="1"/>
      <c r="F160" s="1"/>
      <c r="G160" s="1"/>
      <c r="H160" s="1"/>
      <c r="I160" s="1"/>
    </row>
    <row r="161" spans="3:9" ht="25.5" customHeight="1">
      <c r="C161" s="1"/>
      <c r="D161" s="1"/>
      <c r="E161" s="1"/>
      <c r="F161" s="1"/>
      <c r="G161" s="1"/>
      <c r="H161" s="1"/>
      <c r="I161" s="1"/>
    </row>
    <row r="162" spans="3:9" ht="25.5" customHeight="1">
      <c r="C162" s="1"/>
      <c r="D162" s="1"/>
      <c r="E162" s="1"/>
      <c r="F162" s="1"/>
      <c r="G162" s="1"/>
      <c r="H162" s="1"/>
      <c r="I162" s="1"/>
    </row>
    <row r="163" spans="3:9" ht="25.5" customHeight="1">
      <c r="C163" s="1"/>
      <c r="D163" s="1"/>
      <c r="E163" s="1"/>
      <c r="F163" s="1"/>
      <c r="G163" s="1"/>
      <c r="H163" s="1"/>
      <c r="I163" s="1"/>
    </row>
    <row r="164" spans="3:9" ht="25.5" customHeight="1">
      <c r="C164" s="1"/>
      <c r="D164" s="1"/>
      <c r="E164" s="1"/>
      <c r="F164" s="1"/>
      <c r="G164" s="1"/>
      <c r="H164" s="1"/>
      <c r="I164" s="1"/>
    </row>
    <row r="165" spans="3:9" ht="25.5" customHeight="1">
      <c r="C165" s="1"/>
      <c r="D165" s="1"/>
      <c r="E165" s="1"/>
      <c r="F165" s="1"/>
      <c r="G165" s="1"/>
      <c r="H165" s="1"/>
      <c r="I165" s="1"/>
    </row>
    <row r="166" spans="3:9" ht="25.5" customHeight="1">
      <c r="C166" s="1"/>
      <c r="D166" s="1"/>
      <c r="E166" s="1"/>
      <c r="F166" s="1"/>
      <c r="G166" s="1"/>
      <c r="H166" s="1"/>
      <c r="I166" s="1"/>
    </row>
    <row r="167" spans="3:9" ht="25.5" customHeight="1">
      <c r="C167" s="1"/>
      <c r="D167" s="1"/>
      <c r="E167" s="1"/>
      <c r="F167" s="1"/>
      <c r="G167" s="1"/>
      <c r="H167" s="1"/>
      <c r="I167" s="1"/>
    </row>
    <row r="168" spans="3:9" ht="25.5" customHeight="1">
      <c r="C168" s="1"/>
      <c r="D168" s="1"/>
      <c r="E168" s="1"/>
      <c r="F168" s="1"/>
      <c r="G168" s="1"/>
      <c r="H168" s="1"/>
      <c r="I168" s="1"/>
    </row>
    <row r="169" spans="3:9" ht="25.5" customHeight="1">
      <c r="C169" s="1"/>
      <c r="D169" s="1"/>
      <c r="E169" s="1"/>
      <c r="F169" s="1"/>
      <c r="G169" s="1"/>
      <c r="H169" s="1"/>
      <c r="I169" s="1"/>
    </row>
    <row r="170" spans="3:9" ht="25.5" customHeight="1">
      <c r="C170" s="1"/>
      <c r="D170" s="1"/>
      <c r="E170" s="1"/>
      <c r="F170" s="1"/>
      <c r="G170" s="1"/>
      <c r="H170" s="1"/>
      <c r="I170" s="1"/>
    </row>
    <row r="171" spans="3:9" ht="25.5" customHeight="1">
      <c r="C171" s="1"/>
      <c r="D171" s="1"/>
      <c r="E171" s="1"/>
      <c r="F171" s="1"/>
      <c r="G171" s="1"/>
      <c r="H171" s="1"/>
      <c r="I171" s="1"/>
    </row>
    <row r="172" spans="3:9" ht="25.5" customHeight="1">
      <c r="C172" s="1"/>
      <c r="D172" s="1"/>
      <c r="E172" s="1"/>
      <c r="F172" s="1"/>
      <c r="G172" s="1"/>
      <c r="H172" s="1"/>
      <c r="I172" s="1"/>
    </row>
    <row r="173" spans="3:9" ht="25.5" customHeight="1">
      <c r="C173" s="1"/>
      <c r="D173" s="1"/>
      <c r="E173" s="1"/>
      <c r="F173" s="1"/>
      <c r="G173" s="1"/>
      <c r="H173" s="1"/>
      <c r="I173" s="1"/>
    </row>
    <row r="174" spans="3:9" ht="25.5" customHeight="1">
      <c r="C174" s="1"/>
      <c r="D174" s="1"/>
      <c r="E174" s="1"/>
      <c r="F174" s="1"/>
      <c r="G174" s="1"/>
      <c r="H174" s="1"/>
      <c r="I174" s="1"/>
    </row>
    <row r="175" spans="3:9" ht="25.5" customHeight="1">
      <c r="C175" s="1"/>
      <c r="D175" s="1"/>
      <c r="E175" s="1"/>
      <c r="F175" s="1"/>
      <c r="G175" s="1"/>
      <c r="H175" s="1"/>
      <c r="I175" s="1"/>
    </row>
    <row r="176" spans="3:9" ht="25.5" customHeight="1">
      <c r="C176" s="1"/>
      <c r="D176" s="1"/>
      <c r="E176" s="1"/>
      <c r="F176" s="1"/>
      <c r="G176" s="1"/>
      <c r="H176" s="1"/>
      <c r="I176" s="1"/>
    </row>
    <row r="177" spans="3:9" ht="25.5" customHeight="1">
      <c r="C177" s="1"/>
      <c r="D177" s="1"/>
      <c r="E177" s="1"/>
      <c r="F177" s="1"/>
      <c r="G177" s="1"/>
      <c r="H177" s="1"/>
      <c r="I177" s="1"/>
    </row>
    <row r="178" spans="3:9" ht="25.5" customHeight="1">
      <c r="C178" s="1"/>
      <c r="D178" s="1"/>
      <c r="E178" s="1"/>
      <c r="F178" s="1"/>
      <c r="G178" s="1"/>
      <c r="H178" s="1"/>
      <c r="I178" s="1"/>
    </row>
    <row r="179" spans="3:9" ht="25.5" customHeight="1">
      <c r="C179" s="1"/>
      <c r="D179" s="1"/>
      <c r="E179" s="1"/>
      <c r="F179" s="1"/>
      <c r="G179" s="1"/>
      <c r="H179" s="1"/>
      <c r="I179" s="1"/>
    </row>
    <row r="180" spans="3:9" ht="25.5" customHeight="1">
      <c r="C180" s="1"/>
      <c r="D180" s="1"/>
      <c r="E180" s="1"/>
      <c r="F180" s="1"/>
      <c r="G180" s="1"/>
      <c r="H180" s="1"/>
      <c r="I180" s="1"/>
    </row>
    <row r="181" spans="3:9" ht="25.5" customHeight="1">
      <c r="C181" s="1"/>
      <c r="D181" s="1"/>
      <c r="E181" s="1"/>
      <c r="F181" s="1"/>
      <c r="G181" s="1"/>
      <c r="H181" s="1"/>
      <c r="I181" s="1"/>
    </row>
    <row r="182" spans="3:9" ht="25.5" customHeight="1">
      <c r="C182" s="1"/>
      <c r="D182" s="1"/>
      <c r="E182" s="1"/>
      <c r="F182" s="1"/>
      <c r="G182" s="1"/>
      <c r="H182" s="1"/>
      <c r="I182" s="1"/>
    </row>
    <row r="183" spans="3:9" ht="25.5" customHeight="1">
      <c r="C183" s="1"/>
      <c r="D183" s="1"/>
      <c r="E183" s="1"/>
      <c r="F183" s="1"/>
      <c r="G183" s="1"/>
      <c r="H183" s="1"/>
      <c r="I183" s="1"/>
    </row>
    <row r="184" spans="3:9" ht="25.5" customHeight="1">
      <c r="C184" s="1"/>
      <c r="D184" s="1"/>
      <c r="E184" s="1"/>
      <c r="F184" s="1"/>
      <c r="G184" s="1"/>
      <c r="H184" s="1"/>
      <c r="I184" s="1"/>
    </row>
    <row r="185" spans="3:9" ht="25.5" customHeight="1">
      <c r="C185" s="1"/>
      <c r="D185" s="1"/>
      <c r="E185" s="1"/>
      <c r="F185" s="1"/>
      <c r="G185" s="1"/>
      <c r="H185" s="1"/>
      <c r="I185" s="1"/>
    </row>
    <row r="186" spans="3:9" ht="25.5" customHeight="1">
      <c r="C186" s="1"/>
      <c r="D186" s="1"/>
      <c r="E186" s="1"/>
      <c r="F186" s="1"/>
      <c r="G186" s="1"/>
      <c r="H186" s="1"/>
      <c r="I186" s="1"/>
    </row>
    <row r="187" spans="3:9" ht="25.5" customHeight="1">
      <c r="C187" s="1"/>
      <c r="D187" s="1"/>
      <c r="E187" s="1"/>
      <c r="F187" s="1"/>
      <c r="G187" s="1"/>
      <c r="H187" s="1"/>
      <c r="I187" s="1"/>
    </row>
    <row r="188" spans="3:9" ht="25.5" customHeight="1">
      <c r="C188" s="1"/>
      <c r="D188" s="1"/>
      <c r="E188" s="1"/>
      <c r="F188" s="1"/>
      <c r="G188" s="1"/>
      <c r="H188" s="1"/>
      <c r="I188" s="1"/>
    </row>
    <row r="189" spans="3:9" ht="25.5" customHeight="1">
      <c r="C189" s="1"/>
      <c r="D189" s="1"/>
      <c r="E189" s="1"/>
      <c r="F189" s="1"/>
      <c r="G189" s="1"/>
      <c r="H189" s="1"/>
      <c r="I189" s="1"/>
    </row>
    <row r="190" spans="3:9" ht="25.5" customHeight="1">
      <c r="C190" s="1"/>
      <c r="D190" s="1"/>
      <c r="E190" s="1"/>
      <c r="F190" s="1"/>
      <c r="G190" s="1"/>
      <c r="H190" s="1"/>
      <c r="I190" s="1"/>
    </row>
    <row r="191" spans="3:9" ht="25.5" customHeight="1">
      <c r="C191" s="1"/>
      <c r="D191" s="1"/>
      <c r="E191" s="1"/>
      <c r="F191" s="1"/>
      <c r="G191" s="1"/>
      <c r="H191" s="1"/>
      <c r="I191" s="1"/>
    </row>
    <row r="192" spans="3:9" ht="25.5" customHeight="1">
      <c r="C192" s="1"/>
      <c r="D192" s="1"/>
      <c r="E192" s="1"/>
      <c r="F192" s="1"/>
      <c r="G192" s="1"/>
      <c r="H192" s="1"/>
      <c r="I192" s="1"/>
    </row>
    <row r="193" spans="3:9" ht="25.5" customHeight="1">
      <c r="C193" s="1"/>
      <c r="D193" s="1"/>
      <c r="E193" s="1"/>
      <c r="F193" s="1"/>
      <c r="G193" s="1"/>
      <c r="H193" s="1"/>
      <c r="I193" s="1"/>
    </row>
    <row r="194" spans="3:9" ht="25.5" customHeight="1">
      <c r="C194" s="1"/>
      <c r="D194" s="1"/>
      <c r="E194" s="1"/>
      <c r="F194" s="1"/>
      <c r="G194" s="1"/>
      <c r="H194" s="1"/>
      <c r="I194" s="1"/>
    </row>
    <row r="195" spans="3:9" ht="25.5" customHeight="1">
      <c r="C195" s="1"/>
      <c r="D195" s="1"/>
      <c r="E195" s="1"/>
      <c r="F195" s="1"/>
      <c r="G195" s="1"/>
      <c r="H195" s="1"/>
      <c r="I195" s="1"/>
    </row>
    <row r="196" spans="3:9" ht="25.5" customHeight="1">
      <c r="C196" s="1"/>
      <c r="D196" s="1"/>
      <c r="E196" s="1"/>
      <c r="F196" s="1"/>
      <c r="G196" s="1"/>
      <c r="H196" s="1"/>
      <c r="I196" s="1"/>
    </row>
    <row r="197" spans="3:9" ht="25.5" customHeight="1">
      <c r="C197" s="1"/>
      <c r="D197" s="1"/>
      <c r="E197" s="1"/>
      <c r="F197" s="1"/>
      <c r="G197" s="1"/>
      <c r="H197" s="1"/>
      <c r="I197" s="1"/>
    </row>
    <row r="198" spans="3:9" ht="25.5" customHeight="1">
      <c r="C198" s="1"/>
      <c r="D198" s="1"/>
      <c r="E198" s="1"/>
      <c r="F198" s="1"/>
      <c r="G198" s="1"/>
      <c r="H198" s="1"/>
      <c r="I198" s="1"/>
    </row>
    <row r="199" spans="3:9" ht="25.5" customHeight="1">
      <c r="C199" s="1"/>
      <c r="D199" s="1"/>
      <c r="E199" s="1"/>
      <c r="F199" s="1"/>
      <c r="G199" s="1"/>
      <c r="H199" s="1"/>
      <c r="I199" s="1"/>
    </row>
    <row r="200" spans="3:9" ht="25.5" customHeight="1">
      <c r="C200" s="1"/>
      <c r="D200" s="1"/>
      <c r="E200" s="1"/>
      <c r="F200" s="1"/>
      <c r="G200" s="1"/>
      <c r="H200" s="1"/>
      <c r="I200" s="1"/>
    </row>
    <row r="201" spans="3:9" ht="25.5" customHeight="1">
      <c r="C201" s="1"/>
      <c r="D201" s="1"/>
      <c r="E201" s="1"/>
      <c r="F201" s="1"/>
      <c r="G201" s="1"/>
      <c r="H201" s="1"/>
      <c r="I201" s="1"/>
    </row>
    <row r="202" spans="3:9" ht="25.5" customHeight="1">
      <c r="C202" s="1"/>
      <c r="D202" s="1"/>
      <c r="E202" s="1"/>
      <c r="F202" s="1"/>
      <c r="G202" s="1"/>
      <c r="H202" s="1"/>
      <c r="I202" s="1"/>
    </row>
    <row r="203" spans="3:9" ht="25.5" customHeight="1">
      <c r="C203" s="1"/>
      <c r="D203" s="1"/>
      <c r="E203" s="1"/>
      <c r="F203" s="1"/>
      <c r="G203" s="1"/>
      <c r="H203" s="1"/>
      <c r="I203" s="1"/>
    </row>
    <row r="204" spans="3:9" ht="25.5" customHeight="1">
      <c r="C204" s="1"/>
      <c r="D204" s="1"/>
      <c r="E204" s="1"/>
      <c r="F204" s="1"/>
      <c r="G204" s="1"/>
      <c r="H204" s="1"/>
      <c r="I204" s="1"/>
    </row>
    <row r="205" spans="3:9" ht="25.5" customHeight="1">
      <c r="C205" s="1"/>
      <c r="D205" s="1"/>
      <c r="E205" s="1"/>
      <c r="F205" s="1"/>
      <c r="G205" s="1"/>
      <c r="H205" s="1"/>
      <c r="I205" s="1"/>
    </row>
    <row r="206" spans="3:9" ht="25.5" customHeight="1">
      <c r="C206" s="1"/>
      <c r="D206" s="1"/>
      <c r="E206" s="1"/>
      <c r="F206" s="1"/>
      <c r="G206" s="1"/>
      <c r="H206" s="1"/>
      <c r="I206" s="1"/>
    </row>
    <row r="207" spans="3:9" ht="25.5" customHeight="1">
      <c r="C207" s="1"/>
      <c r="D207" s="1"/>
      <c r="E207" s="1"/>
      <c r="F207" s="1"/>
      <c r="G207" s="1"/>
      <c r="H207" s="1"/>
      <c r="I207" s="1"/>
    </row>
    <row r="208" spans="3:9" ht="25.5" customHeight="1">
      <c r="C208" s="1"/>
      <c r="D208" s="1"/>
      <c r="E208" s="1"/>
      <c r="F208" s="1"/>
      <c r="G208" s="1"/>
      <c r="H208" s="1"/>
      <c r="I208" s="1"/>
    </row>
    <row r="209" spans="3:9" ht="25.5" customHeight="1">
      <c r="C209" s="1"/>
      <c r="D209" s="1"/>
      <c r="E209" s="1"/>
      <c r="F209" s="1"/>
      <c r="G209" s="1"/>
      <c r="H209" s="1"/>
      <c r="I209" s="1"/>
    </row>
    <row r="210" spans="3:9" ht="25.5" customHeight="1">
      <c r="C210" s="1"/>
      <c r="D210" s="1"/>
      <c r="E210" s="1"/>
      <c r="F210" s="1"/>
      <c r="G210" s="1"/>
      <c r="H210" s="1"/>
      <c r="I210" s="1"/>
    </row>
    <row r="211" spans="3:9" ht="25.5" customHeight="1">
      <c r="C211" s="1"/>
      <c r="D211" s="1"/>
      <c r="E211" s="1"/>
      <c r="F211" s="1"/>
      <c r="G211" s="1"/>
      <c r="H211" s="1"/>
      <c r="I211" s="1"/>
    </row>
    <row r="212" spans="3:9" ht="25.5" customHeight="1">
      <c r="C212" s="1"/>
      <c r="D212" s="1"/>
      <c r="E212" s="1"/>
      <c r="F212" s="1"/>
      <c r="G212" s="1"/>
      <c r="H212" s="1"/>
      <c r="I212" s="1"/>
    </row>
    <row r="213" spans="3:9" ht="25.5" customHeight="1">
      <c r="C213" s="1"/>
      <c r="D213" s="1"/>
      <c r="E213" s="1"/>
      <c r="F213" s="1"/>
      <c r="G213" s="1"/>
      <c r="H213" s="1"/>
      <c r="I213" s="1"/>
    </row>
    <row r="214" spans="3:9" ht="25.5" customHeight="1">
      <c r="C214" s="1"/>
      <c r="D214" s="1"/>
      <c r="E214" s="1"/>
      <c r="F214" s="1"/>
      <c r="G214" s="1"/>
      <c r="H214" s="1"/>
      <c r="I214" s="1"/>
    </row>
    <row r="215" spans="3:9" ht="25.5" customHeight="1">
      <c r="C215" s="1"/>
      <c r="D215" s="1"/>
      <c r="E215" s="1"/>
      <c r="F215" s="1"/>
      <c r="G215" s="1"/>
      <c r="H215" s="1"/>
      <c r="I215" s="1"/>
    </row>
    <row r="216" spans="3:9" ht="25.5" customHeight="1">
      <c r="C216" s="1"/>
      <c r="D216" s="1"/>
      <c r="E216" s="1"/>
      <c r="F216" s="1"/>
      <c r="G216" s="1"/>
      <c r="H216" s="1"/>
      <c r="I216" s="1"/>
    </row>
    <row r="217" spans="3:9" ht="25.5" customHeight="1">
      <c r="C217" s="1"/>
      <c r="D217" s="1"/>
      <c r="E217" s="1"/>
      <c r="F217" s="1"/>
      <c r="G217" s="1"/>
      <c r="H217" s="1"/>
      <c r="I217" s="1"/>
    </row>
    <row r="218" spans="3:9" ht="25.5" customHeight="1">
      <c r="C218" s="1"/>
      <c r="D218" s="1"/>
      <c r="E218" s="1"/>
      <c r="F218" s="1"/>
      <c r="G218" s="1"/>
      <c r="H218" s="1"/>
      <c r="I218" s="1"/>
    </row>
    <row r="219" spans="3:9" ht="25.5" customHeight="1">
      <c r="C219" s="1"/>
      <c r="D219" s="1"/>
      <c r="E219" s="1"/>
      <c r="F219" s="1"/>
      <c r="G219" s="1"/>
      <c r="H219" s="1"/>
      <c r="I219" s="1"/>
    </row>
    <row r="220" spans="3:9" ht="25.5" customHeight="1">
      <c r="C220" s="1"/>
      <c r="D220" s="1"/>
      <c r="E220" s="1"/>
      <c r="F220" s="1"/>
      <c r="G220" s="1"/>
      <c r="H220" s="1"/>
      <c r="I220" s="1"/>
    </row>
    <row r="221" spans="3:9" ht="25.5" customHeight="1">
      <c r="C221" s="1"/>
      <c r="D221" s="1"/>
      <c r="E221" s="1"/>
      <c r="F221" s="1"/>
      <c r="G221" s="1"/>
      <c r="H221" s="1"/>
      <c r="I221" s="1"/>
    </row>
    <row r="222" spans="3:9" ht="25.5" customHeight="1">
      <c r="C222" s="1"/>
      <c r="D222" s="1"/>
      <c r="E222" s="1"/>
      <c r="F222" s="1"/>
      <c r="G222" s="1"/>
      <c r="H222" s="1"/>
      <c r="I222" s="1"/>
    </row>
    <row r="223" spans="3:9" ht="25.5" customHeight="1">
      <c r="C223" s="1"/>
      <c r="D223" s="1"/>
      <c r="E223" s="1"/>
      <c r="F223" s="1"/>
      <c r="G223" s="1"/>
      <c r="H223" s="1"/>
      <c r="I223" s="1"/>
    </row>
    <row r="224" spans="3:9" ht="25.5" customHeight="1">
      <c r="C224" s="1"/>
      <c r="D224" s="1"/>
      <c r="E224" s="1"/>
      <c r="F224" s="1"/>
      <c r="G224" s="1"/>
      <c r="H224" s="1"/>
      <c r="I224" s="1"/>
    </row>
    <row r="225" spans="3:9" ht="25.5" customHeight="1">
      <c r="C225" s="1"/>
      <c r="D225" s="1"/>
      <c r="E225" s="1"/>
      <c r="F225" s="1"/>
      <c r="G225" s="1"/>
      <c r="H225" s="1"/>
      <c r="I225" s="1"/>
    </row>
    <row r="226" spans="3:9" ht="25.5" customHeight="1">
      <c r="C226" s="1"/>
      <c r="D226" s="1"/>
      <c r="E226" s="1"/>
      <c r="F226" s="1"/>
      <c r="G226" s="1"/>
      <c r="H226" s="1"/>
      <c r="I226" s="1"/>
    </row>
    <row r="227" spans="3:9" ht="25.5" customHeight="1">
      <c r="C227" s="1"/>
      <c r="D227" s="1"/>
      <c r="E227" s="1"/>
      <c r="F227" s="1"/>
      <c r="G227" s="1"/>
      <c r="H227" s="1"/>
      <c r="I227" s="1"/>
    </row>
    <row r="228" spans="3:9" ht="25.5" customHeight="1">
      <c r="C228" s="1"/>
      <c r="D228" s="1"/>
      <c r="E228" s="1"/>
      <c r="F228" s="1"/>
      <c r="G228" s="1"/>
      <c r="H228" s="1"/>
      <c r="I228" s="1"/>
    </row>
    <row r="229" spans="3:9" ht="25.5" customHeight="1">
      <c r="C229" s="1"/>
      <c r="D229" s="1"/>
      <c r="E229" s="1"/>
      <c r="F229" s="1"/>
      <c r="G229" s="1"/>
      <c r="H229" s="1"/>
      <c r="I229" s="1"/>
    </row>
    <row r="230" spans="3:9" ht="25.5" customHeight="1">
      <c r="C230" s="1"/>
      <c r="D230" s="1"/>
      <c r="E230" s="1"/>
      <c r="F230" s="1"/>
      <c r="G230" s="1"/>
      <c r="H230" s="1"/>
      <c r="I230" s="1"/>
    </row>
    <row r="231" spans="3:9" ht="25.5" customHeight="1">
      <c r="C231" s="1"/>
      <c r="D231" s="1"/>
      <c r="E231" s="1"/>
      <c r="F231" s="1"/>
      <c r="G231" s="1"/>
      <c r="H231" s="1"/>
      <c r="I231" s="1"/>
    </row>
    <row r="232" spans="3:9" ht="25.5" customHeight="1">
      <c r="C232" s="1"/>
      <c r="D232" s="1"/>
      <c r="E232" s="1"/>
      <c r="F232" s="1"/>
      <c r="G232" s="1"/>
      <c r="H232" s="1"/>
      <c r="I232" s="1"/>
    </row>
    <row r="233" spans="3:9" ht="25.5" customHeight="1">
      <c r="C233" s="1"/>
      <c r="D233" s="1"/>
      <c r="E233" s="1"/>
      <c r="F233" s="1"/>
      <c r="G233" s="1"/>
      <c r="H233" s="1"/>
      <c r="I233" s="1"/>
    </row>
    <row r="234" spans="3:9" ht="25.5" customHeight="1">
      <c r="C234" s="1"/>
      <c r="D234" s="1"/>
      <c r="E234" s="1"/>
      <c r="F234" s="1"/>
      <c r="G234" s="1"/>
      <c r="H234" s="1"/>
      <c r="I234" s="1"/>
    </row>
    <row r="235" spans="3:9" ht="25.5" customHeight="1">
      <c r="C235" s="1"/>
      <c r="D235" s="1"/>
      <c r="E235" s="1"/>
      <c r="F235" s="1"/>
      <c r="G235" s="1"/>
      <c r="H235" s="1"/>
      <c r="I235" s="1"/>
    </row>
    <row r="236" spans="3:9" ht="25.5" customHeight="1">
      <c r="C236" s="1"/>
      <c r="D236" s="1"/>
      <c r="E236" s="1"/>
      <c r="F236" s="1"/>
      <c r="G236" s="1"/>
      <c r="H236" s="1"/>
      <c r="I236" s="1"/>
    </row>
    <row r="237" spans="3:9" ht="25.5" customHeight="1">
      <c r="C237" s="1"/>
      <c r="D237" s="1"/>
      <c r="E237" s="1"/>
      <c r="F237" s="1"/>
      <c r="G237" s="1"/>
      <c r="H237" s="1"/>
      <c r="I237" s="1"/>
    </row>
    <row r="238" spans="3:9" ht="25.5" customHeight="1">
      <c r="C238" s="1"/>
      <c r="D238" s="1"/>
      <c r="E238" s="1"/>
      <c r="F238" s="1"/>
      <c r="G238" s="1"/>
      <c r="H238" s="1"/>
      <c r="I238" s="1"/>
    </row>
    <row r="239" spans="3:9" ht="25.5" customHeight="1">
      <c r="C239" s="1"/>
      <c r="D239" s="1"/>
      <c r="E239" s="1"/>
      <c r="F239" s="1"/>
      <c r="G239" s="1"/>
      <c r="H239" s="1"/>
      <c r="I239" s="1"/>
    </row>
    <row r="240" spans="3:9" ht="25.5" customHeight="1">
      <c r="C240" s="1"/>
      <c r="D240" s="1"/>
      <c r="E240" s="1"/>
      <c r="F240" s="1"/>
      <c r="G240" s="1"/>
      <c r="H240" s="1"/>
      <c r="I240" s="1"/>
    </row>
    <row r="241" spans="3:9" ht="25.5" customHeight="1">
      <c r="C241" s="1"/>
      <c r="D241" s="1"/>
      <c r="E241" s="1"/>
      <c r="F241" s="1"/>
      <c r="G241" s="1"/>
      <c r="H241" s="1"/>
      <c r="I241" s="1"/>
    </row>
    <row r="242" spans="3:9" ht="25.5" customHeight="1">
      <c r="C242" s="1"/>
      <c r="D242" s="1"/>
      <c r="E242" s="1"/>
      <c r="F242" s="1"/>
      <c r="G242" s="1"/>
      <c r="H242" s="1"/>
      <c r="I242" s="1"/>
    </row>
    <row r="243" spans="3:9" ht="25.5" customHeight="1">
      <c r="C243" s="1"/>
      <c r="D243" s="1"/>
      <c r="E243" s="1"/>
      <c r="F243" s="1"/>
      <c r="G243" s="1"/>
      <c r="H243" s="1"/>
      <c r="I243" s="1"/>
    </row>
    <row r="244" spans="3:9" ht="25.5" customHeight="1">
      <c r="C244" s="1"/>
      <c r="D244" s="1"/>
      <c r="E244" s="1"/>
      <c r="F244" s="1"/>
      <c r="G244" s="1"/>
      <c r="H244" s="1"/>
      <c r="I244" s="1"/>
    </row>
    <row r="245" spans="3:9" ht="25.5" customHeight="1">
      <c r="C245" s="1"/>
      <c r="D245" s="1"/>
      <c r="E245" s="1"/>
      <c r="F245" s="1"/>
      <c r="G245" s="1"/>
      <c r="H245" s="1"/>
      <c r="I245" s="1"/>
    </row>
    <row r="246" spans="3:9" ht="25.5" customHeight="1">
      <c r="C246" s="1"/>
      <c r="D246" s="1"/>
      <c r="E246" s="1"/>
      <c r="F246" s="1"/>
      <c r="G246" s="1"/>
      <c r="H246" s="1"/>
      <c r="I246" s="1"/>
    </row>
    <row r="247" spans="3:9" ht="25.5" customHeight="1">
      <c r="C247" s="1"/>
      <c r="D247" s="1"/>
      <c r="E247" s="1"/>
      <c r="F247" s="1"/>
      <c r="G247" s="1"/>
      <c r="H247" s="1"/>
      <c r="I247" s="1"/>
    </row>
    <row r="248" spans="3:9" ht="25.5" customHeight="1">
      <c r="C248" s="1"/>
      <c r="D248" s="1"/>
      <c r="E248" s="1"/>
      <c r="F248" s="1"/>
      <c r="G248" s="1"/>
      <c r="H248" s="1"/>
      <c r="I248" s="1"/>
    </row>
    <row r="249" spans="3:9" ht="25.5" customHeight="1">
      <c r="C249" s="1"/>
      <c r="D249" s="1"/>
      <c r="E249" s="1"/>
      <c r="F249" s="1"/>
      <c r="G249" s="1"/>
      <c r="H249" s="1"/>
      <c r="I249" s="1"/>
    </row>
    <row r="250" spans="3:9" ht="25.5" customHeight="1">
      <c r="C250" s="1"/>
      <c r="D250" s="1"/>
      <c r="E250" s="1"/>
      <c r="F250" s="1"/>
      <c r="G250" s="1"/>
      <c r="H250" s="1"/>
      <c r="I250" s="1"/>
    </row>
    <row r="251" spans="3:9" ht="25.5" customHeight="1">
      <c r="C251" s="1"/>
      <c r="D251" s="1"/>
      <c r="E251" s="1"/>
      <c r="F251" s="1"/>
      <c r="G251" s="1"/>
      <c r="H251" s="1"/>
      <c r="I251" s="1"/>
    </row>
    <row r="252" spans="3:9" ht="25.5" customHeight="1">
      <c r="C252" s="1"/>
      <c r="D252" s="1"/>
      <c r="E252" s="1"/>
      <c r="F252" s="1"/>
      <c r="G252" s="1"/>
      <c r="H252" s="1"/>
      <c r="I252" s="1"/>
    </row>
    <row r="253" spans="3:9" ht="25.5" customHeight="1">
      <c r="C253" s="1"/>
      <c r="D253" s="1"/>
      <c r="E253" s="1"/>
      <c r="F253" s="1"/>
      <c r="G253" s="1"/>
      <c r="H253" s="1"/>
      <c r="I253" s="1"/>
    </row>
    <row r="254" spans="3:9" ht="25.5" customHeight="1">
      <c r="C254" s="1"/>
      <c r="D254" s="1"/>
      <c r="E254" s="1"/>
      <c r="F254" s="1"/>
      <c r="G254" s="1"/>
      <c r="H254" s="1"/>
      <c r="I254" s="1"/>
    </row>
    <row r="255" spans="3:9" ht="25.5" customHeight="1">
      <c r="C255" s="1"/>
      <c r="D255" s="1"/>
      <c r="E255" s="1"/>
      <c r="F255" s="1"/>
      <c r="G255" s="1"/>
      <c r="H255" s="1"/>
      <c r="I255" s="1"/>
    </row>
    <row r="256" spans="3:9" ht="25.5" customHeight="1">
      <c r="C256" s="1"/>
      <c r="D256" s="1"/>
      <c r="E256" s="1"/>
      <c r="F256" s="1"/>
      <c r="G256" s="1"/>
      <c r="H256" s="1"/>
      <c r="I256" s="1"/>
    </row>
    <row r="257" spans="3:9" ht="25.5" customHeight="1">
      <c r="C257" s="1"/>
      <c r="D257" s="1"/>
      <c r="E257" s="1"/>
      <c r="F257" s="1"/>
      <c r="G257" s="1"/>
      <c r="H257" s="1"/>
      <c r="I257" s="1"/>
    </row>
    <row r="258" spans="3:9" ht="25.5" customHeight="1">
      <c r="C258" s="1"/>
      <c r="D258" s="1"/>
      <c r="E258" s="1"/>
      <c r="F258" s="1"/>
      <c r="G258" s="1"/>
      <c r="H258" s="1"/>
      <c r="I258" s="1"/>
    </row>
    <row r="259" spans="3:9" ht="25.5" customHeight="1">
      <c r="C259" s="1"/>
      <c r="D259" s="1"/>
      <c r="E259" s="1"/>
      <c r="F259" s="1"/>
      <c r="G259" s="1"/>
      <c r="H259" s="1"/>
      <c r="I259" s="1"/>
    </row>
    <row r="260" spans="3:9" ht="25.5" customHeight="1">
      <c r="C260" s="1"/>
      <c r="D260" s="1"/>
      <c r="E260" s="1"/>
      <c r="F260" s="1"/>
      <c r="G260" s="1"/>
      <c r="H260" s="1"/>
      <c r="I260" s="1"/>
    </row>
    <row r="261" spans="3:9" ht="25.5" customHeight="1">
      <c r="C261" s="1"/>
      <c r="D261" s="1"/>
      <c r="E261" s="1"/>
      <c r="F261" s="1"/>
      <c r="G261" s="1"/>
      <c r="H261" s="1"/>
      <c r="I261" s="1"/>
    </row>
    <row r="262" spans="3:9" ht="25.5" customHeight="1">
      <c r="C262" s="1"/>
      <c r="D262" s="1"/>
      <c r="E262" s="1"/>
      <c r="F262" s="1"/>
      <c r="G262" s="1"/>
      <c r="H262" s="1"/>
      <c r="I262" s="1"/>
    </row>
    <row r="263" spans="3:9" ht="25.5" customHeight="1">
      <c r="C263" s="1"/>
      <c r="D263" s="1"/>
      <c r="E263" s="1"/>
      <c r="F263" s="1"/>
      <c r="G263" s="1"/>
      <c r="H263" s="1"/>
      <c r="I263" s="1"/>
    </row>
  </sheetData>
  <mergeCells count="7">
    <mergeCell ref="C3:K3"/>
    <mergeCell ref="C4:K4"/>
    <mergeCell ref="C5:J5"/>
    <mergeCell ref="J7:K7"/>
    <mergeCell ref="H7:I7"/>
    <mergeCell ref="F7:G7"/>
    <mergeCell ref="D7:E7"/>
  </mergeCells>
  <printOptions horizontalCentered="1"/>
  <pageMargins left="0.3937007874015748" right="0.3937007874015748" top="0.35433070866141736" bottom="0.35433070866141736" header="0.2755905511811024" footer="0.2362204724409449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2"/>
  <sheetViews>
    <sheetView workbookViewId="0" topLeftCell="A208">
      <selection activeCell="D189" sqref="D189"/>
    </sheetView>
  </sheetViews>
  <sheetFormatPr defaultColWidth="9.00390625" defaultRowHeight="12.75"/>
  <cols>
    <col min="1" max="1" width="8.00390625" style="35" customWidth="1"/>
    <col min="2" max="2" width="74.75390625" style="32" customWidth="1"/>
    <col min="3" max="3" width="10.625" style="81" customWidth="1"/>
    <col min="4" max="4" width="9.25390625" style="33" customWidth="1"/>
    <col min="5" max="5" width="9.875" style="32" customWidth="1"/>
    <col min="6" max="7" width="8.75390625" style="32" customWidth="1"/>
    <col min="8" max="8" width="9.625" style="32" customWidth="1"/>
    <col min="9" max="9" width="9.375" style="32" customWidth="1"/>
    <col min="10" max="10" width="10.125" style="32" customWidth="1"/>
    <col min="11" max="11" width="9.375" style="32" customWidth="1"/>
    <col min="12" max="12" width="9.125" style="32" customWidth="1"/>
    <col min="13" max="13" width="8.875" style="34" customWidth="1"/>
    <col min="14" max="14" width="9.625" style="32" customWidth="1"/>
    <col min="15" max="16384" width="9.125" style="32" customWidth="1"/>
  </cols>
  <sheetData>
    <row r="1" ht="12.75">
      <c r="A1" s="259" t="s">
        <v>165</v>
      </c>
    </row>
    <row r="2" ht="10.5" customHeight="1"/>
    <row r="3" spans="1:14" ht="15.75" customHeight="1">
      <c r="A3" s="590" t="s">
        <v>76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</row>
    <row r="4" spans="1:14" ht="12.75" customHeight="1">
      <c r="A4" s="592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2:14" ht="11.25" customHeight="1" thickBot="1">
      <c r="L5" s="36"/>
      <c r="M5" s="37"/>
      <c r="N5" s="37" t="s">
        <v>166</v>
      </c>
    </row>
    <row r="6" spans="1:14" s="38" customFormat="1" ht="13.5" thickTop="1">
      <c r="A6" s="569" t="s">
        <v>267</v>
      </c>
      <c r="B6" s="570"/>
      <c r="C6" s="570"/>
      <c r="D6" s="575" t="s">
        <v>172</v>
      </c>
      <c r="E6" s="578" t="s">
        <v>268</v>
      </c>
      <c r="F6" s="68" t="s">
        <v>269</v>
      </c>
      <c r="G6" s="68"/>
      <c r="H6" s="68"/>
      <c r="I6" s="273"/>
      <c r="J6" s="273"/>
      <c r="K6" s="68" t="s">
        <v>205</v>
      </c>
      <c r="L6" s="68"/>
      <c r="M6" s="581" t="s">
        <v>345</v>
      </c>
      <c r="N6" s="587" t="s">
        <v>248</v>
      </c>
    </row>
    <row r="7" spans="1:14" s="38" customFormat="1" ht="12">
      <c r="A7" s="571"/>
      <c r="B7" s="572"/>
      <c r="C7" s="572"/>
      <c r="D7" s="576"/>
      <c r="E7" s="579"/>
      <c r="F7" s="584" t="s">
        <v>339</v>
      </c>
      <c r="G7" s="584" t="s">
        <v>340</v>
      </c>
      <c r="H7" s="584" t="s">
        <v>341</v>
      </c>
      <c r="I7" s="584" t="s">
        <v>342</v>
      </c>
      <c r="J7" s="584" t="s">
        <v>344</v>
      </c>
      <c r="K7" s="585" t="s">
        <v>263</v>
      </c>
      <c r="L7" s="585" t="s">
        <v>244</v>
      </c>
      <c r="M7" s="582"/>
      <c r="N7" s="588"/>
    </row>
    <row r="8" spans="1:14" s="38" customFormat="1" ht="39" customHeight="1" thickBot="1">
      <c r="A8" s="573"/>
      <c r="B8" s="574"/>
      <c r="C8" s="574"/>
      <c r="D8" s="577"/>
      <c r="E8" s="580"/>
      <c r="F8" s="583"/>
      <c r="G8" s="583"/>
      <c r="H8" s="583"/>
      <c r="I8" s="583"/>
      <c r="J8" s="583"/>
      <c r="K8" s="586"/>
      <c r="L8" s="586"/>
      <c r="M8" s="583"/>
      <c r="N8" s="589"/>
    </row>
    <row r="9" spans="1:14" s="38" customFormat="1" ht="12" customHeight="1" thickTop="1">
      <c r="A9" s="72" t="s">
        <v>438</v>
      </c>
      <c r="B9" s="243" t="s">
        <v>439</v>
      </c>
      <c r="C9" s="83" t="s">
        <v>207</v>
      </c>
      <c r="D9" s="70">
        <v>0</v>
      </c>
      <c r="E9" s="70">
        <f aca="true" t="shared" si="0" ref="E9:E38">SUM(F9:N9)</f>
        <v>9420</v>
      </c>
      <c r="F9" s="70"/>
      <c r="G9" s="70"/>
      <c r="H9" s="70">
        <v>9420</v>
      </c>
      <c r="I9" s="70"/>
      <c r="J9" s="70"/>
      <c r="K9" s="70"/>
      <c r="L9" s="70"/>
      <c r="M9" s="70"/>
      <c r="N9" s="71"/>
    </row>
    <row r="10" spans="1:14" s="38" customFormat="1" ht="12" customHeight="1">
      <c r="A10" s="72"/>
      <c r="B10" s="243"/>
      <c r="C10" s="83" t="s">
        <v>700</v>
      </c>
      <c r="D10" s="70"/>
      <c r="E10" s="70">
        <f>SUM(F10:N10)</f>
        <v>9420</v>
      </c>
      <c r="F10" s="70"/>
      <c r="G10" s="70"/>
      <c r="H10" s="70">
        <v>9420</v>
      </c>
      <c r="I10" s="70"/>
      <c r="J10" s="70"/>
      <c r="K10" s="70"/>
      <c r="L10" s="70"/>
      <c r="M10" s="70"/>
      <c r="N10" s="71"/>
    </row>
    <row r="11" spans="1:14" s="38" customFormat="1" ht="12" customHeight="1">
      <c r="A11" s="271">
        <v>360000</v>
      </c>
      <c r="B11" s="274" t="s">
        <v>447</v>
      </c>
      <c r="C11" s="82" t="s">
        <v>207</v>
      </c>
      <c r="D11" s="69">
        <v>100357</v>
      </c>
      <c r="E11" s="70">
        <f>SUM(F11:N11)</f>
        <v>140111</v>
      </c>
      <c r="F11" s="69"/>
      <c r="G11" s="69"/>
      <c r="H11" s="69">
        <v>300</v>
      </c>
      <c r="I11" s="69">
        <v>4600</v>
      </c>
      <c r="J11" s="69"/>
      <c r="K11" s="69">
        <v>10000</v>
      </c>
      <c r="L11" s="69">
        <v>125211</v>
      </c>
      <c r="M11" s="69"/>
      <c r="N11" s="73"/>
    </row>
    <row r="12" spans="1:14" s="38" customFormat="1" ht="12" customHeight="1">
      <c r="A12" s="271"/>
      <c r="B12" s="274"/>
      <c r="C12" s="83" t="s">
        <v>700</v>
      </c>
      <c r="D12" s="69">
        <v>100357</v>
      </c>
      <c r="E12" s="70">
        <f>SUM(F12:N12)</f>
        <v>140359</v>
      </c>
      <c r="F12" s="69"/>
      <c r="G12" s="69"/>
      <c r="H12" s="69">
        <v>300</v>
      </c>
      <c r="I12" s="69">
        <v>4848</v>
      </c>
      <c r="J12" s="69"/>
      <c r="K12" s="69">
        <v>10000</v>
      </c>
      <c r="L12" s="69">
        <v>125211</v>
      </c>
      <c r="M12" s="69"/>
      <c r="N12" s="73"/>
    </row>
    <row r="13" spans="1:14" s="38" customFormat="1" ht="12" customHeight="1">
      <c r="A13" s="271">
        <v>370000</v>
      </c>
      <c r="B13" s="269" t="s">
        <v>459</v>
      </c>
      <c r="C13" s="82" t="s">
        <v>207</v>
      </c>
      <c r="D13" s="69">
        <v>16155</v>
      </c>
      <c r="E13" s="69">
        <f t="shared" si="0"/>
        <v>20575</v>
      </c>
      <c r="F13" s="69"/>
      <c r="G13" s="69"/>
      <c r="H13" s="69">
        <v>3000</v>
      </c>
      <c r="I13" s="69"/>
      <c r="J13" s="69"/>
      <c r="K13" s="69">
        <v>2000</v>
      </c>
      <c r="L13" s="69">
        <v>15575</v>
      </c>
      <c r="M13" s="69"/>
      <c r="N13" s="73"/>
    </row>
    <row r="14" spans="1:14" s="38" customFormat="1" ht="12" customHeight="1">
      <c r="A14" s="271"/>
      <c r="B14" s="269"/>
      <c r="C14" s="83" t="s">
        <v>700</v>
      </c>
      <c r="D14" s="69">
        <v>16155</v>
      </c>
      <c r="E14" s="69">
        <f t="shared" si="0"/>
        <v>20575</v>
      </c>
      <c r="F14" s="69"/>
      <c r="G14" s="69"/>
      <c r="H14" s="69">
        <v>3000</v>
      </c>
      <c r="I14" s="69"/>
      <c r="J14" s="69"/>
      <c r="K14" s="69">
        <v>2000</v>
      </c>
      <c r="L14" s="69">
        <v>15575</v>
      </c>
      <c r="M14" s="69"/>
      <c r="N14" s="73"/>
    </row>
    <row r="15" spans="1:14" s="38" customFormat="1" ht="12" customHeight="1">
      <c r="A15" s="271">
        <v>381103</v>
      </c>
      <c r="B15" s="269" t="s">
        <v>458</v>
      </c>
      <c r="C15" s="82" t="s">
        <v>207</v>
      </c>
      <c r="D15" s="69"/>
      <c r="E15" s="69">
        <f t="shared" si="0"/>
        <v>49725</v>
      </c>
      <c r="F15" s="69"/>
      <c r="G15" s="69"/>
      <c r="H15" s="69">
        <v>29225</v>
      </c>
      <c r="I15" s="69">
        <v>20500</v>
      </c>
      <c r="J15" s="69"/>
      <c r="K15" s="69"/>
      <c r="L15" s="69"/>
      <c r="M15" s="69"/>
      <c r="N15" s="73"/>
    </row>
    <row r="16" spans="1:14" s="38" customFormat="1" ht="12" customHeight="1">
      <c r="A16" s="271"/>
      <c r="B16" s="269"/>
      <c r="C16" s="83" t="s">
        <v>700</v>
      </c>
      <c r="D16" s="69"/>
      <c r="E16" s="69">
        <f t="shared" si="0"/>
        <v>49725</v>
      </c>
      <c r="F16" s="69"/>
      <c r="G16" s="69"/>
      <c r="H16" s="69">
        <v>29225</v>
      </c>
      <c r="I16" s="69">
        <v>20500</v>
      </c>
      <c r="J16" s="69"/>
      <c r="K16" s="69"/>
      <c r="L16" s="69"/>
      <c r="M16" s="69"/>
      <c r="N16" s="73"/>
    </row>
    <row r="17" spans="1:14" s="38" customFormat="1" ht="12" customHeight="1">
      <c r="A17" s="271">
        <v>412000</v>
      </c>
      <c r="B17" s="269" t="s">
        <v>445</v>
      </c>
      <c r="C17" s="82" t="s">
        <v>207</v>
      </c>
      <c r="D17" s="69">
        <v>1689754</v>
      </c>
      <c r="E17" s="69">
        <f t="shared" si="0"/>
        <v>2968176</v>
      </c>
      <c r="F17" s="69"/>
      <c r="G17" s="69"/>
      <c r="H17" s="69"/>
      <c r="I17" s="69">
        <v>184812</v>
      </c>
      <c r="J17" s="69"/>
      <c r="K17" s="69">
        <v>84077</v>
      </c>
      <c r="L17" s="69">
        <v>2699287</v>
      </c>
      <c r="M17" s="69"/>
      <c r="N17" s="73"/>
    </row>
    <row r="18" spans="1:14" s="38" customFormat="1" ht="12" customHeight="1">
      <c r="A18" s="271"/>
      <c r="B18" s="269"/>
      <c r="C18" s="83" t="s">
        <v>700</v>
      </c>
      <c r="D18" s="69">
        <v>1517892</v>
      </c>
      <c r="E18" s="69">
        <f t="shared" si="0"/>
        <v>3122864</v>
      </c>
      <c r="F18" s="69"/>
      <c r="G18" s="69"/>
      <c r="H18" s="69">
        <v>128900</v>
      </c>
      <c r="I18" s="69">
        <v>184812</v>
      </c>
      <c r="J18" s="69"/>
      <c r="K18" s="69">
        <v>81159</v>
      </c>
      <c r="L18" s="69">
        <v>2727993</v>
      </c>
      <c r="M18" s="69"/>
      <c r="N18" s="73"/>
    </row>
    <row r="19" spans="1:14" s="38" customFormat="1" ht="12" customHeight="1">
      <c r="A19" s="271">
        <v>421100</v>
      </c>
      <c r="B19" s="269" t="s">
        <v>441</v>
      </c>
      <c r="C19" s="82" t="s">
        <v>207</v>
      </c>
      <c r="D19" s="69">
        <v>566273</v>
      </c>
      <c r="E19" s="69">
        <f t="shared" si="0"/>
        <v>1122735</v>
      </c>
      <c r="F19" s="69"/>
      <c r="G19" s="69"/>
      <c r="H19" s="69"/>
      <c r="I19" s="69">
        <v>82529</v>
      </c>
      <c r="J19" s="69"/>
      <c r="K19" s="69">
        <v>97291</v>
      </c>
      <c r="L19" s="69">
        <v>942915</v>
      </c>
      <c r="M19" s="69"/>
      <c r="N19" s="73"/>
    </row>
    <row r="20" spans="1:14" s="38" customFormat="1" ht="12" customHeight="1">
      <c r="A20" s="271"/>
      <c r="B20" s="269"/>
      <c r="C20" s="83" t="s">
        <v>700</v>
      </c>
      <c r="D20" s="69">
        <v>566273</v>
      </c>
      <c r="E20" s="69">
        <f t="shared" si="0"/>
        <v>1153453</v>
      </c>
      <c r="F20" s="69"/>
      <c r="G20" s="69"/>
      <c r="H20" s="69"/>
      <c r="I20" s="69">
        <v>82529</v>
      </c>
      <c r="J20" s="69"/>
      <c r="K20" s="69">
        <v>97291</v>
      </c>
      <c r="L20" s="69">
        <v>973633</v>
      </c>
      <c r="M20" s="69"/>
      <c r="N20" s="73"/>
    </row>
    <row r="21" spans="1:14" s="38" customFormat="1" ht="12" customHeight="1">
      <c r="A21" s="271">
        <v>522110</v>
      </c>
      <c r="B21" s="269" t="s">
        <v>443</v>
      </c>
      <c r="C21" s="82" t="s">
        <v>207</v>
      </c>
      <c r="D21" s="69"/>
      <c r="E21" s="69">
        <f t="shared" si="0"/>
        <v>36600</v>
      </c>
      <c r="F21" s="69"/>
      <c r="G21" s="69"/>
      <c r="H21" s="69">
        <v>20000</v>
      </c>
      <c r="I21" s="69">
        <v>16600</v>
      </c>
      <c r="J21" s="77"/>
      <c r="K21" s="77"/>
      <c r="L21" s="69"/>
      <c r="M21" s="69"/>
      <c r="N21" s="73"/>
    </row>
    <row r="22" spans="1:14" s="38" customFormat="1" ht="12" customHeight="1">
      <c r="A22" s="271"/>
      <c r="B22" s="269"/>
      <c r="C22" s="83" t="s">
        <v>700</v>
      </c>
      <c r="D22" s="69"/>
      <c r="E22" s="69">
        <f t="shared" si="0"/>
        <v>36600</v>
      </c>
      <c r="F22" s="69"/>
      <c r="G22" s="69"/>
      <c r="H22" s="69">
        <v>20000</v>
      </c>
      <c r="I22" s="69">
        <v>16600</v>
      </c>
      <c r="J22" s="77"/>
      <c r="K22" s="77"/>
      <c r="L22" s="69"/>
      <c r="M22" s="69"/>
      <c r="N22" s="73"/>
    </row>
    <row r="23" spans="1:14" s="38" customFormat="1" ht="12" customHeight="1">
      <c r="A23" s="271">
        <v>552001</v>
      </c>
      <c r="B23" s="269" t="s">
        <v>442</v>
      </c>
      <c r="C23" s="82" t="s">
        <v>207</v>
      </c>
      <c r="D23" s="69">
        <v>2750</v>
      </c>
      <c r="E23" s="69">
        <f t="shared" si="0"/>
        <v>4517</v>
      </c>
      <c r="F23" s="69"/>
      <c r="G23" s="69"/>
      <c r="H23" s="69">
        <v>3617</v>
      </c>
      <c r="I23" s="69">
        <v>900</v>
      </c>
      <c r="J23" s="77"/>
      <c r="K23" s="77"/>
      <c r="L23" s="69"/>
      <c r="M23" s="69"/>
      <c r="N23" s="73"/>
    </row>
    <row r="24" spans="1:14" s="38" customFormat="1" ht="12" customHeight="1">
      <c r="A24" s="271"/>
      <c r="B24" s="269"/>
      <c r="C24" s="83" t="s">
        <v>700</v>
      </c>
      <c r="D24" s="69">
        <v>2750</v>
      </c>
      <c r="E24" s="69">
        <f t="shared" si="0"/>
        <v>14517</v>
      </c>
      <c r="F24" s="69"/>
      <c r="G24" s="69"/>
      <c r="H24" s="69">
        <v>3617</v>
      </c>
      <c r="I24" s="69">
        <v>900</v>
      </c>
      <c r="J24" s="77"/>
      <c r="K24" s="77"/>
      <c r="L24" s="69">
        <v>10000</v>
      </c>
      <c r="M24" s="69"/>
      <c r="N24" s="73"/>
    </row>
    <row r="25" spans="1:14" s="38" customFormat="1" ht="12" customHeight="1">
      <c r="A25" s="272">
        <v>581100</v>
      </c>
      <c r="B25" s="275" t="s">
        <v>490</v>
      </c>
      <c r="C25" s="82" t="s">
        <v>207</v>
      </c>
      <c r="D25" s="69"/>
      <c r="E25" s="69">
        <f t="shared" si="0"/>
        <v>2250</v>
      </c>
      <c r="F25" s="75"/>
      <c r="G25" s="75"/>
      <c r="H25" s="75">
        <v>2250</v>
      </c>
      <c r="I25" s="75"/>
      <c r="J25" s="75"/>
      <c r="K25" s="75"/>
      <c r="L25" s="75"/>
      <c r="M25" s="75"/>
      <c r="N25" s="76"/>
    </row>
    <row r="26" spans="1:14" s="38" customFormat="1" ht="12" customHeight="1">
      <c r="A26" s="272"/>
      <c r="B26" s="275"/>
      <c r="C26" s="83" t="s">
        <v>700</v>
      </c>
      <c r="D26" s="69"/>
      <c r="E26" s="69">
        <f t="shared" si="0"/>
        <v>2250</v>
      </c>
      <c r="F26" s="75"/>
      <c r="G26" s="75"/>
      <c r="H26" s="75">
        <v>2250</v>
      </c>
      <c r="I26" s="75"/>
      <c r="J26" s="75"/>
      <c r="K26" s="75"/>
      <c r="L26" s="75"/>
      <c r="M26" s="75"/>
      <c r="N26" s="76"/>
    </row>
    <row r="27" spans="1:14" s="38" customFormat="1" ht="12" customHeight="1">
      <c r="A27" s="271">
        <v>581900</v>
      </c>
      <c r="B27" s="269" t="s">
        <v>440</v>
      </c>
      <c r="C27" s="82" t="s">
        <v>207</v>
      </c>
      <c r="D27" s="69">
        <v>0</v>
      </c>
      <c r="E27" s="69">
        <f t="shared" si="0"/>
        <v>15000</v>
      </c>
      <c r="F27" s="69"/>
      <c r="G27" s="69"/>
      <c r="H27" s="69">
        <v>15000</v>
      </c>
      <c r="I27" s="69"/>
      <c r="J27" s="69"/>
      <c r="K27" s="69"/>
      <c r="L27" s="69"/>
      <c r="M27" s="69"/>
      <c r="N27" s="73"/>
    </row>
    <row r="28" spans="1:14" s="38" customFormat="1" ht="12" customHeight="1">
      <c r="A28" s="271"/>
      <c r="B28" s="269"/>
      <c r="C28" s="83" t="s">
        <v>700</v>
      </c>
      <c r="D28" s="69"/>
      <c r="E28" s="69">
        <f t="shared" si="0"/>
        <v>15000</v>
      </c>
      <c r="F28" s="69"/>
      <c r="G28" s="69"/>
      <c r="H28" s="69">
        <v>15000</v>
      </c>
      <c r="I28" s="69"/>
      <c r="J28" s="69"/>
      <c r="K28" s="69"/>
      <c r="L28" s="69"/>
      <c r="M28" s="69"/>
      <c r="N28" s="73"/>
    </row>
    <row r="29" spans="1:14" s="38" customFormat="1" ht="12" customHeight="1">
      <c r="A29" s="271">
        <v>681000</v>
      </c>
      <c r="B29" s="269" t="s">
        <v>448</v>
      </c>
      <c r="C29" s="82" t="s">
        <v>207</v>
      </c>
      <c r="D29" s="69">
        <v>735800</v>
      </c>
      <c r="E29" s="69">
        <f t="shared" si="0"/>
        <v>235000</v>
      </c>
      <c r="F29" s="69"/>
      <c r="G29" s="69"/>
      <c r="H29" s="69"/>
      <c r="I29" s="69"/>
      <c r="J29" s="69"/>
      <c r="K29" s="69"/>
      <c r="L29" s="69">
        <v>235000</v>
      </c>
      <c r="M29" s="69"/>
      <c r="N29" s="73"/>
    </row>
    <row r="30" spans="1:14" s="38" customFormat="1" ht="12" customHeight="1">
      <c r="A30" s="271"/>
      <c r="B30" s="269"/>
      <c r="C30" s="83" t="s">
        <v>700</v>
      </c>
      <c r="D30" s="69">
        <v>735800</v>
      </c>
      <c r="E30" s="69">
        <f t="shared" si="0"/>
        <v>235000</v>
      </c>
      <c r="F30" s="69"/>
      <c r="G30" s="69"/>
      <c r="H30" s="69"/>
      <c r="I30" s="69"/>
      <c r="J30" s="69"/>
      <c r="K30" s="69"/>
      <c r="L30" s="69">
        <v>235000</v>
      </c>
      <c r="M30" s="69"/>
      <c r="N30" s="73"/>
    </row>
    <row r="31" spans="1:14" s="38" customFormat="1" ht="12" customHeight="1">
      <c r="A31" s="271">
        <v>682001</v>
      </c>
      <c r="B31" s="269" t="s">
        <v>449</v>
      </c>
      <c r="C31" s="82" t="s">
        <v>207</v>
      </c>
      <c r="D31" s="69">
        <v>54500</v>
      </c>
      <c r="E31" s="69">
        <f t="shared" si="0"/>
        <v>90562</v>
      </c>
      <c r="F31" s="69"/>
      <c r="G31" s="69"/>
      <c r="H31" s="69">
        <v>72687</v>
      </c>
      <c r="I31" s="69"/>
      <c r="J31" s="69"/>
      <c r="K31" s="69"/>
      <c r="L31" s="69">
        <v>17875</v>
      </c>
      <c r="M31" s="69"/>
      <c r="N31" s="73"/>
    </row>
    <row r="32" spans="1:14" s="38" customFormat="1" ht="12" customHeight="1">
      <c r="A32" s="271"/>
      <c r="B32" s="269"/>
      <c r="C32" s="83" t="s">
        <v>700</v>
      </c>
      <c r="D32" s="69">
        <v>54500</v>
      </c>
      <c r="E32" s="69">
        <f t="shared" si="0"/>
        <v>105562</v>
      </c>
      <c r="F32" s="69"/>
      <c r="G32" s="69"/>
      <c r="H32" s="69">
        <v>72687</v>
      </c>
      <c r="I32" s="69"/>
      <c r="J32" s="69"/>
      <c r="K32" s="69"/>
      <c r="L32" s="69">
        <v>32875</v>
      </c>
      <c r="M32" s="69"/>
      <c r="N32" s="73"/>
    </row>
    <row r="33" spans="1:14" s="38" customFormat="1" ht="12" customHeight="1">
      <c r="A33" s="271">
        <v>682002</v>
      </c>
      <c r="B33" s="269" t="s">
        <v>450</v>
      </c>
      <c r="C33" s="82" t="s">
        <v>207</v>
      </c>
      <c r="D33" s="69">
        <v>56368</v>
      </c>
      <c r="E33" s="69">
        <f t="shared" si="0"/>
        <v>54786</v>
      </c>
      <c r="F33" s="69"/>
      <c r="G33" s="69"/>
      <c r="H33" s="69">
        <v>4000</v>
      </c>
      <c r="I33" s="69">
        <v>2036</v>
      </c>
      <c r="J33" s="69"/>
      <c r="K33" s="69"/>
      <c r="L33" s="69">
        <v>48750</v>
      </c>
      <c r="M33" s="69"/>
      <c r="N33" s="73"/>
    </row>
    <row r="34" spans="1:14" s="38" customFormat="1" ht="12" customHeight="1">
      <c r="A34" s="271"/>
      <c r="B34" s="269"/>
      <c r="C34" s="83" t="s">
        <v>700</v>
      </c>
      <c r="D34" s="69">
        <v>56468</v>
      </c>
      <c r="E34" s="69">
        <f t="shared" si="0"/>
        <v>54786</v>
      </c>
      <c r="F34" s="69"/>
      <c r="G34" s="69"/>
      <c r="H34" s="69">
        <v>4000</v>
      </c>
      <c r="I34" s="69">
        <v>2036</v>
      </c>
      <c r="J34" s="69"/>
      <c r="K34" s="69"/>
      <c r="L34" s="69">
        <v>48750</v>
      </c>
      <c r="M34" s="69"/>
      <c r="N34" s="73"/>
    </row>
    <row r="35" spans="1:14" s="38" customFormat="1" ht="12" customHeight="1">
      <c r="A35" s="271">
        <v>682002</v>
      </c>
      <c r="B35" s="269" t="s">
        <v>450</v>
      </c>
      <c r="C35" s="82" t="s">
        <v>207</v>
      </c>
      <c r="D35" s="69"/>
      <c r="E35" s="69">
        <f t="shared" si="0"/>
        <v>11620</v>
      </c>
      <c r="F35" s="75"/>
      <c r="G35" s="75"/>
      <c r="H35" s="75">
        <v>11620</v>
      </c>
      <c r="I35" s="75"/>
      <c r="J35" s="75"/>
      <c r="K35" s="75"/>
      <c r="L35" s="75"/>
      <c r="M35" s="75"/>
      <c r="N35" s="76"/>
    </row>
    <row r="36" spans="1:14" s="38" customFormat="1" ht="12" customHeight="1">
      <c r="A36" s="271"/>
      <c r="B36" s="269"/>
      <c r="C36" s="83" t="s">
        <v>700</v>
      </c>
      <c r="D36" s="69"/>
      <c r="E36" s="69">
        <f t="shared" si="0"/>
        <v>13083</v>
      </c>
      <c r="F36" s="75"/>
      <c r="G36" s="75"/>
      <c r="H36" s="75">
        <v>13083</v>
      </c>
      <c r="I36" s="75"/>
      <c r="J36" s="75"/>
      <c r="K36" s="75"/>
      <c r="L36" s="75"/>
      <c r="M36" s="75"/>
      <c r="N36" s="76"/>
    </row>
    <row r="37" spans="1:14" s="38" customFormat="1" ht="12" customHeight="1">
      <c r="A37" s="271">
        <v>683200</v>
      </c>
      <c r="B37" s="269" t="s">
        <v>451</v>
      </c>
      <c r="C37" s="82" t="s">
        <v>207</v>
      </c>
      <c r="D37" s="69"/>
      <c r="E37" s="69">
        <f t="shared" si="0"/>
        <v>15688</v>
      </c>
      <c r="F37" s="69"/>
      <c r="G37" s="69"/>
      <c r="H37" s="69">
        <v>15688</v>
      </c>
      <c r="I37" s="69"/>
      <c r="J37" s="69"/>
      <c r="K37" s="69"/>
      <c r="L37" s="69"/>
      <c r="M37" s="69"/>
      <c r="N37" s="73"/>
    </row>
    <row r="38" spans="1:14" s="38" customFormat="1" ht="12" customHeight="1">
      <c r="A38" s="271"/>
      <c r="B38" s="269"/>
      <c r="C38" s="83" t="s">
        <v>700</v>
      </c>
      <c r="D38" s="69"/>
      <c r="E38" s="69">
        <f t="shared" si="0"/>
        <v>4688</v>
      </c>
      <c r="F38" s="69"/>
      <c r="G38" s="69"/>
      <c r="H38" s="69">
        <v>4688</v>
      </c>
      <c r="I38" s="69"/>
      <c r="J38" s="69"/>
      <c r="K38" s="69"/>
      <c r="L38" s="69"/>
      <c r="M38" s="69"/>
      <c r="N38" s="73"/>
    </row>
    <row r="39" spans="1:14" s="38" customFormat="1" ht="12" customHeight="1">
      <c r="A39" s="271">
        <v>750000</v>
      </c>
      <c r="B39" s="269" t="s">
        <v>452</v>
      </c>
      <c r="C39" s="82" t="s">
        <v>207</v>
      </c>
      <c r="D39" s="69"/>
      <c r="E39" s="69">
        <f aca="true" t="shared" si="1" ref="E39:E64">SUM(F39:N39)</f>
        <v>3300</v>
      </c>
      <c r="F39" s="69"/>
      <c r="G39" s="69"/>
      <c r="H39" s="69">
        <v>3000</v>
      </c>
      <c r="I39" s="69">
        <v>300</v>
      </c>
      <c r="J39" s="69"/>
      <c r="K39" s="69"/>
      <c r="L39" s="69"/>
      <c r="M39" s="69"/>
      <c r="N39" s="73"/>
    </row>
    <row r="40" spans="1:14" s="38" customFormat="1" ht="12" customHeight="1">
      <c r="A40" s="271"/>
      <c r="B40" s="269"/>
      <c r="C40" s="83" t="s">
        <v>700</v>
      </c>
      <c r="D40" s="69"/>
      <c r="E40" s="69">
        <f t="shared" si="1"/>
        <v>3300</v>
      </c>
      <c r="F40" s="69"/>
      <c r="G40" s="69"/>
      <c r="H40" s="69">
        <v>3000</v>
      </c>
      <c r="I40" s="69">
        <v>300</v>
      </c>
      <c r="J40" s="69"/>
      <c r="K40" s="69"/>
      <c r="L40" s="69"/>
      <c r="M40" s="69"/>
      <c r="N40" s="73"/>
    </row>
    <row r="41" spans="1:14" s="38" customFormat="1" ht="12" customHeight="1">
      <c r="A41" s="271">
        <v>771100</v>
      </c>
      <c r="B41" s="269" t="s">
        <v>505</v>
      </c>
      <c r="C41" s="82" t="s">
        <v>207</v>
      </c>
      <c r="D41" s="69"/>
      <c r="E41" s="69">
        <f t="shared" si="1"/>
        <v>0</v>
      </c>
      <c r="F41" s="75"/>
      <c r="G41" s="75"/>
      <c r="H41" s="75">
        <v>0</v>
      </c>
      <c r="I41" s="75"/>
      <c r="J41" s="75"/>
      <c r="K41" s="75"/>
      <c r="L41" s="75"/>
      <c r="M41" s="75"/>
      <c r="N41" s="76"/>
    </row>
    <row r="42" spans="1:14" s="38" customFormat="1" ht="12" customHeight="1">
      <c r="A42" s="271"/>
      <c r="B42" s="269"/>
      <c r="C42" s="83" t="s">
        <v>700</v>
      </c>
      <c r="D42" s="69"/>
      <c r="E42" s="69">
        <f t="shared" si="1"/>
        <v>0</v>
      </c>
      <c r="F42" s="75"/>
      <c r="G42" s="75"/>
      <c r="H42" s="75">
        <v>0</v>
      </c>
      <c r="I42" s="75"/>
      <c r="J42" s="75"/>
      <c r="K42" s="75"/>
      <c r="L42" s="75"/>
      <c r="M42" s="75"/>
      <c r="N42" s="76"/>
    </row>
    <row r="43" spans="1:14" s="38" customFormat="1" ht="12" customHeight="1">
      <c r="A43" s="271">
        <v>773000</v>
      </c>
      <c r="B43" s="269" t="s">
        <v>504</v>
      </c>
      <c r="C43" s="82" t="s">
        <v>207</v>
      </c>
      <c r="D43" s="69"/>
      <c r="E43" s="69">
        <f t="shared" si="1"/>
        <v>3640</v>
      </c>
      <c r="F43" s="75"/>
      <c r="G43" s="75"/>
      <c r="H43" s="75">
        <v>3640</v>
      </c>
      <c r="I43" s="75"/>
      <c r="J43" s="75"/>
      <c r="K43" s="75"/>
      <c r="L43" s="75"/>
      <c r="M43" s="75"/>
      <c r="N43" s="76"/>
    </row>
    <row r="44" spans="1:14" s="38" customFormat="1" ht="12" customHeight="1">
      <c r="A44" s="271"/>
      <c r="B44" s="269"/>
      <c r="C44" s="83" t="s">
        <v>700</v>
      </c>
      <c r="D44" s="69"/>
      <c r="E44" s="69">
        <f t="shared" si="1"/>
        <v>3640</v>
      </c>
      <c r="F44" s="75"/>
      <c r="G44" s="75"/>
      <c r="H44" s="75">
        <v>3640</v>
      </c>
      <c r="I44" s="75"/>
      <c r="J44" s="75"/>
      <c r="K44" s="75"/>
      <c r="L44" s="75"/>
      <c r="M44" s="75"/>
      <c r="N44" s="76"/>
    </row>
    <row r="45" spans="1:14" s="38" customFormat="1" ht="12" customHeight="1">
      <c r="A45" s="271">
        <v>813000</v>
      </c>
      <c r="B45" s="269" t="s">
        <v>436</v>
      </c>
      <c r="C45" s="82" t="s">
        <v>207</v>
      </c>
      <c r="D45" s="69">
        <v>1100</v>
      </c>
      <c r="E45" s="69">
        <f t="shared" si="1"/>
        <v>63000</v>
      </c>
      <c r="F45" s="69"/>
      <c r="G45" s="69"/>
      <c r="H45" s="69">
        <v>46000</v>
      </c>
      <c r="I45" s="69">
        <v>17000</v>
      </c>
      <c r="J45" s="69"/>
      <c r="K45" s="69"/>
      <c r="L45" s="69"/>
      <c r="M45" s="69"/>
      <c r="N45" s="73"/>
    </row>
    <row r="46" spans="1:14" s="38" customFormat="1" ht="12" customHeight="1">
      <c r="A46" s="271"/>
      <c r="B46" s="269"/>
      <c r="C46" s="83" t="s">
        <v>700</v>
      </c>
      <c r="D46" s="69">
        <v>1100</v>
      </c>
      <c r="E46" s="69">
        <f t="shared" si="1"/>
        <v>72500</v>
      </c>
      <c r="F46" s="69"/>
      <c r="G46" s="69"/>
      <c r="H46" s="69">
        <v>55500</v>
      </c>
      <c r="I46" s="69">
        <v>17000</v>
      </c>
      <c r="J46" s="69"/>
      <c r="K46" s="69"/>
      <c r="L46" s="69"/>
      <c r="M46" s="69"/>
      <c r="N46" s="73"/>
    </row>
    <row r="47" spans="1:14" s="38" customFormat="1" ht="12" customHeight="1">
      <c r="A47" s="271">
        <v>813000</v>
      </c>
      <c r="B47" s="269" t="s">
        <v>437</v>
      </c>
      <c r="C47" s="82" t="s">
        <v>207</v>
      </c>
      <c r="D47" s="69"/>
      <c r="E47" s="69">
        <f t="shared" si="1"/>
        <v>5000</v>
      </c>
      <c r="F47" s="69"/>
      <c r="G47" s="69"/>
      <c r="H47" s="69">
        <v>5000</v>
      </c>
      <c r="I47" s="69"/>
      <c r="J47" s="69"/>
      <c r="K47" s="69"/>
      <c r="L47" s="69"/>
      <c r="M47" s="69"/>
      <c r="N47" s="73"/>
    </row>
    <row r="48" spans="1:14" s="38" customFormat="1" ht="12" customHeight="1">
      <c r="A48" s="271"/>
      <c r="B48" s="269"/>
      <c r="C48" s="83" t="s">
        <v>700</v>
      </c>
      <c r="D48" s="69"/>
      <c r="E48" s="69">
        <f t="shared" si="1"/>
        <v>15000</v>
      </c>
      <c r="F48" s="69"/>
      <c r="G48" s="69"/>
      <c r="H48" s="69">
        <v>5000</v>
      </c>
      <c r="I48" s="69"/>
      <c r="J48" s="69"/>
      <c r="K48" s="69"/>
      <c r="L48" s="69">
        <v>10000</v>
      </c>
      <c r="M48" s="69"/>
      <c r="N48" s="73"/>
    </row>
    <row r="49" spans="1:14" s="38" customFormat="1" ht="12" customHeight="1">
      <c r="A49" s="271">
        <v>821900</v>
      </c>
      <c r="B49" s="269" t="s">
        <v>503</v>
      </c>
      <c r="C49" s="82" t="s">
        <v>207</v>
      </c>
      <c r="D49" s="69"/>
      <c r="E49" s="69">
        <f t="shared" si="1"/>
        <v>2500</v>
      </c>
      <c r="F49" s="75"/>
      <c r="G49" s="75"/>
      <c r="H49" s="75">
        <v>2500</v>
      </c>
      <c r="I49" s="75"/>
      <c r="J49" s="75"/>
      <c r="K49" s="75"/>
      <c r="L49" s="75"/>
      <c r="M49" s="75"/>
      <c r="N49" s="76"/>
    </row>
    <row r="50" spans="1:14" s="38" customFormat="1" ht="12" customHeight="1">
      <c r="A50" s="271"/>
      <c r="B50" s="269"/>
      <c r="C50" s="83" t="s">
        <v>700</v>
      </c>
      <c r="D50" s="69"/>
      <c r="E50" s="69">
        <f t="shared" si="1"/>
        <v>2500</v>
      </c>
      <c r="F50" s="75"/>
      <c r="G50" s="75"/>
      <c r="H50" s="75">
        <v>2500</v>
      </c>
      <c r="I50" s="75"/>
      <c r="J50" s="75"/>
      <c r="K50" s="75"/>
      <c r="L50" s="75"/>
      <c r="M50" s="75"/>
      <c r="N50" s="76"/>
    </row>
    <row r="51" spans="1:14" s="38" customFormat="1" ht="12" customHeight="1">
      <c r="A51" s="271">
        <v>841112</v>
      </c>
      <c r="B51" s="269" t="s">
        <v>514</v>
      </c>
      <c r="C51" s="82" t="s">
        <v>207</v>
      </c>
      <c r="D51" s="69"/>
      <c r="E51" s="69">
        <f t="shared" si="1"/>
        <v>72554</v>
      </c>
      <c r="F51" s="75">
        <v>57968</v>
      </c>
      <c r="G51" s="75">
        <v>14470</v>
      </c>
      <c r="H51" s="75">
        <v>116</v>
      </c>
      <c r="I51" s="75"/>
      <c r="J51" s="75"/>
      <c r="K51" s="75"/>
      <c r="L51" s="75"/>
      <c r="M51" s="75"/>
      <c r="N51" s="76"/>
    </row>
    <row r="52" spans="1:14" s="38" customFormat="1" ht="12" customHeight="1">
      <c r="A52" s="271"/>
      <c r="B52" s="269"/>
      <c r="C52" s="83" t="s">
        <v>700</v>
      </c>
      <c r="D52" s="69"/>
      <c r="E52" s="69">
        <f t="shared" si="1"/>
        <v>72554</v>
      </c>
      <c r="F52" s="75">
        <v>57968</v>
      </c>
      <c r="G52" s="75">
        <v>14470</v>
      </c>
      <c r="H52" s="75">
        <v>116</v>
      </c>
      <c r="I52" s="75"/>
      <c r="J52" s="75"/>
      <c r="K52" s="75"/>
      <c r="L52" s="75"/>
      <c r="M52" s="75"/>
      <c r="N52" s="76"/>
    </row>
    <row r="53" spans="1:14" s="38" customFormat="1" ht="12" customHeight="1">
      <c r="A53" s="271">
        <v>841114</v>
      </c>
      <c r="B53" s="269" t="s">
        <v>610</v>
      </c>
      <c r="C53" s="82" t="s">
        <v>207</v>
      </c>
      <c r="D53" s="69"/>
      <c r="E53" s="69">
        <f t="shared" si="1"/>
        <v>0</v>
      </c>
      <c r="F53" s="75"/>
      <c r="G53" s="75"/>
      <c r="H53" s="75"/>
      <c r="I53" s="75"/>
      <c r="J53" s="75"/>
      <c r="K53" s="75"/>
      <c r="L53" s="75"/>
      <c r="M53" s="75"/>
      <c r="N53" s="76"/>
    </row>
    <row r="54" spans="1:14" s="38" customFormat="1" ht="12" customHeight="1">
      <c r="A54" s="271"/>
      <c r="B54" s="269"/>
      <c r="C54" s="83" t="s">
        <v>700</v>
      </c>
      <c r="D54" s="69">
        <v>4884</v>
      </c>
      <c r="E54" s="69">
        <f t="shared" si="1"/>
        <v>4884</v>
      </c>
      <c r="F54" s="75">
        <v>2175</v>
      </c>
      <c r="G54" s="75">
        <v>563</v>
      </c>
      <c r="H54" s="75">
        <v>2130</v>
      </c>
      <c r="I54" s="75">
        <v>16</v>
      </c>
      <c r="J54" s="75"/>
      <c r="K54" s="75"/>
      <c r="L54" s="75"/>
      <c r="M54" s="75"/>
      <c r="N54" s="76"/>
    </row>
    <row r="55" spans="1:14" s="38" customFormat="1" ht="12" customHeight="1">
      <c r="A55" s="271">
        <v>841126</v>
      </c>
      <c r="B55" s="269" t="s">
        <v>512</v>
      </c>
      <c r="C55" s="82" t="s">
        <v>207</v>
      </c>
      <c r="D55" s="69">
        <v>218997</v>
      </c>
      <c r="E55" s="69">
        <f t="shared" si="1"/>
        <v>873920</v>
      </c>
      <c r="F55" s="75">
        <v>345239</v>
      </c>
      <c r="G55" s="75">
        <v>88745</v>
      </c>
      <c r="H55" s="75">
        <v>211850</v>
      </c>
      <c r="I55" s="75">
        <v>5981</v>
      </c>
      <c r="J55" s="75"/>
      <c r="K55" s="75"/>
      <c r="L55" s="75">
        <v>42105</v>
      </c>
      <c r="M55" s="75"/>
      <c r="N55" s="76">
        <v>180000</v>
      </c>
    </row>
    <row r="56" spans="1:14" s="38" customFormat="1" ht="12" customHeight="1">
      <c r="A56" s="271"/>
      <c r="B56" s="269"/>
      <c r="C56" s="83" t="s">
        <v>700</v>
      </c>
      <c r="D56" s="69">
        <v>213658</v>
      </c>
      <c r="E56" s="69">
        <f t="shared" si="1"/>
        <v>714352</v>
      </c>
      <c r="F56" s="75">
        <v>355160</v>
      </c>
      <c r="G56" s="75">
        <v>91422</v>
      </c>
      <c r="H56" s="75">
        <v>218631</v>
      </c>
      <c r="I56" s="75">
        <v>6631</v>
      </c>
      <c r="J56" s="75"/>
      <c r="K56" s="75">
        <v>403</v>
      </c>
      <c r="L56" s="75">
        <v>42105</v>
      </c>
      <c r="M56" s="75"/>
      <c r="N56" s="76"/>
    </row>
    <row r="57" spans="1:14" s="38" customFormat="1" ht="12" customHeight="1">
      <c r="A57" s="271">
        <v>841126</v>
      </c>
      <c r="B57" s="269" t="s">
        <v>513</v>
      </c>
      <c r="C57" s="82" t="s">
        <v>207</v>
      </c>
      <c r="D57" s="69">
        <v>1850000</v>
      </c>
      <c r="E57" s="69">
        <f t="shared" si="1"/>
        <v>0</v>
      </c>
      <c r="F57" s="75"/>
      <c r="G57" s="75"/>
      <c r="H57" s="75"/>
      <c r="I57" s="75"/>
      <c r="J57" s="75"/>
      <c r="K57" s="75"/>
      <c r="L57" s="75"/>
      <c r="M57" s="75"/>
      <c r="N57" s="76"/>
    </row>
    <row r="58" spans="1:14" s="38" customFormat="1" ht="12" customHeight="1">
      <c r="A58" s="271"/>
      <c r="B58" s="269"/>
      <c r="C58" s="83" t="s">
        <v>700</v>
      </c>
      <c r="D58" s="69">
        <v>2432944</v>
      </c>
      <c r="E58" s="69">
        <f t="shared" si="1"/>
        <v>0</v>
      </c>
      <c r="F58" s="75"/>
      <c r="G58" s="75"/>
      <c r="H58" s="75"/>
      <c r="I58" s="75"/>
      <c r="J58" s="75"/>
      <c r="K58" s="75"/>
      <c r="L58" s="75"/>
      <c r="M58" s="75"/>
      <c r="N58" s="76"/>
    </row>
    <row r="59" spans="1:14" s="38" customFormat="1" ht="12" customHeight="1">
      <c r="A59" s="271">
        <v>841126</v>
      </c>
      <c r="B59" s="269" t="s">
        <v>614</v>
      </c>
      <c r="C59" s="82" t="s">
        <v>207</v>
      </c>
      <c r="D59" s="69"/>
      <c r="E59" s="69">
        <f t="shared" si="1"/>
        <v>0</v>
      </c>
      <c r="F59" s="75"/>
      <c r="G59" s="75"/>
      <c r="H59" s="75"/>
      <c r="I59" s="75"/>
      <c r="J59" s="75"/>
      <c r="K59" s="75"/>
      <c r="L59" s="75"/>
      <c r="M59" s="75"/>
      <c r="N59" s="76"/>
    </row>
    <row r="60" spans="1:14" s="38" customFormat="1" ht="12" customHeight="1">
      <c r="A60" s="271"/>
      <c r="B60" s="269"/>
      <c r="C60" s="83" t="s">
        <v>700</v>
      </c>
      <c r="D60" s="69"/>
      <c r="E60" s="69">
        <f t="shared" si="1"/>
        <v>13560</v>
      </c>
      <c r="F60" s="75"/>
      <c r="G60" s="75"/>
      <c r="H60" s="75"/>
      <c r="I60" s="75"/>
      <c r="J60" s="75"/>
      <c r="K60" s="75"/>
      <c r="L60" s="75"/>
      <c r="M60" s="75"/>
      <c r="N60" s="76">
        <v>13560</v>
      </c>
    </row>
    <row r="61" spans="1:14" s="38" customFormat="1" ht="12" customHeight="1">
      <c r="A61" s="271">
        <v>841126</v>
      </c>
      <c r="B61" s="269" t="s">
        <v>615</v>
      </c>
      <c r="C61" s="82" t="s">
        <v>207</v>
      </c>
      <c r="D61" s="69"/>
      <c r="E61" s="69">
        <f t="shared" si="1"/>
        <v>0</v>
      </c>
      <c r="F61" s="75"/>
      <c r="G61" s="75"/>
      <c r="H61" s="75"/>
      <c r="I61" s="75"/>
      <c r="J61" s="75"/>
      <c r="K61" s="75"/>
      <c r="L61" s="75"/>
      <c r="M61" s="75"/>
      <c r="N61" s="76"/>
    </row>
    <row r="62" spans="1:14" s="38" customFormat="1" ht="12" customHeight="1">
      <c r="A62" s="271"/>
      <c r="B62" s="269"/>
      <c r="C62" s="83" t="s">
        <v>700</v>
      </c>
      <c r="D62" s="69"/>
      <c r="E62" s="69">
        <f t="shared" si="1"/>
        <v>107637</v>
      </c>
      <c r="F62" s="75"/>
      <c r="G62" s="75"/>
      <c r="H62" s="75"/>
      <c r="I62" s="75"/>
      <c r="J62" s="75"/>
      <c r="K62" s="75"/>
      <c r="L62" s="75"/>
      <c r="M62" s="75"/>
      <c r="N62" s="76">
        <v>107637</v>
      </c>
    </row>
    <row r="63" spans="1:14" s="38" customFormat="1" ht="12" customHeight="1">
      <c r="A63" s="271">
        <v>841126</v>
      </c>
      <c r="B63" s="269" t="s">
        <v>616</v>
      </c>
      <c r="C63" s="82" t="s">
        <v>207</v>
      </c>
      <c r="D63" s="69"/>
      <c r="E63" s="69">
        <f t="shared" si="1"/>
        <v>0</v>
      </c>
      <c r="F63" s="75"/>
      <c r="G63" s="75"/>
      <c r="H63" s="75"/>
      <c r="I63" s="75"/>
      <c r="J63" s="75"/>
      <c r="K63" s="75"/>
      <c r="L63" s="75"/>
      <c r="M63" s="75"/>
      <c r="N63" s="76"/>
    </row>
    <row r="64" spans="1:14" s="38" customFormat="1" ht="12" customHeight="1" thickBot="1">
      <c r="A64" s="278"/>
      <c r="B64" s="279"/>
      <c r="C64" s="235" t="s">
        <v>700</v>
      </c>
      <c r="D64" s="94"/>
      <c r="E64" s="94">
        <f t="shared" si="1"/>
        <v>32656</v>
      </c>
      <c r="F64" s="346"/>
      <c r="G64" s="346"/>
      <c r="H64" s="346"/>
      <c r="I64" s="346"/>
      <c r="J64" s="346"/>
      <c r="K64" s="346"/>
      <c r="L64" s="346"/>
      <c r="M64" s="346"/>
      <c r="N64" s="350">
        <v>32656</v>
      </c>
    </row>
    <row r="65" spans="1:14" s="38" customFormat="1" ht="12" customHeight="1" thickTop="1">
      <c r="A65" s="569" t="s">
        <v>267</v>
      </c>
      <c r="B65" s="570"/>
      <c r="C65" s="570"/>
      <c r="D65" s="575" t="s">
        <v>172</v>
      </c>
      <c r="E65" s="578" t="s">
        <v>268</v>
      </c>
      <c r="F65" s="68" t="s">
        <v>269</v>
      </c>
      <c r="G65" s="68"/>
      <c r="H65" s="68"/>
      <c r="I65" s="273"/>
      <c r="J65" s="273"/>
      <c r="K65" s="68" t="s">
        <v>205</v>
      </c>
      <c r="L65" s="68"/>
      <c r="M65" s="581" t="s">
        <v>345</v>
      </c>
      <c r="N65" s="587" t="s">
        <v>248</v>
      </c>
    </row>
    <row r="66" spans="1:14" s="38" customFormat="1" ht="12" customHeight="1">
      <c r="A66" s="571"/>
      <c r="B66" s="572"/>
      <c r="C66" s="572"/>
      <c r="D66" s="576"/>
      <c r="E66" s="579"/>
      <c r="F66" s="584" t="s">
        <v>339</v>
      </c>
      <c r="G66" s="584" t="s">
        <v>340</v>
      </c>
      <c r="H66" s="584" t="s">
        <v>341</v>
      </c>
      <c r="I66" s="584" t="s">
        <v>342</v>
      </c>
      <c r="J66" s="584" t="s">
        <v>344</v>
      </c>
      <c r="K66" s="585" t="s">
        <v>263</v>
      </c>
      <c r="L66" s="585" t="s">
        <v>244</v>
      </c>
      <c r="M66" s="582"/>
      <c r="N66" s="588"/>
    </row>
    <row r="67" spans="1:14" s="38" customFormat="1" ht="39.75" customHeight="1" thickBot="1">
      <c r="A67" s="573"/>
      <c r="B67" s="574"/>
      <c r="C67" s="574"/>
      <c r="D67" s="577"/>
      <c r="E67" s="580"/>
      <c r="F67" s="583"/>
      <c r="G67" s="583"/>
      <c r="H67" s="583"/>
      <c r="I67" s="583"/>
      <c r="J67" s="583"/>
      <c r="K67" s="586"/>
      <c r="L67" s="586"/>
      <c r="M67" s="583"/>
      <c r="N67" s="589"/>
    </row>
    <row r="68" spans="1:14" s="38" customFormat="1" ht="12" customHeight="1" thickTop="1">
      <c r="A68" s="271">
        <v>841126</v>
      </c>
      <c r="B68" s="269" t="s">
        <v>617</v>
      </c>
      <c r="C68" s="82" t="s">
        <v>207</v>
      </c>
      <c r="D68" s="69"/>
      <c r="E68" s="69">
        <f aca="true" t="shared" si="2" ref="E68:E84">SUM(F68:N68)</f>
        <v>0</v>
      </c>
      <c r="F68" s="75"/>
      <c r="G68" s="75"/>
      <c r="H68" s="75"/>
      <c r="I68" s="75"/>
      <c r="J68" s="75"/>
      <c r="K68" s="75"/>
      <c r="L68" s="75"/>
      <c r="M68" s="75"/>
      <c r="N68" s="76"/>
    </row>
    <row r="69" spans="1:14" s="38" customFormat="1" ht="12" customHeight="1">
      <c r="A69" s="271"/>
      <c r="B69" s="269"/>
      <c r="C69" s="83" t="s">
        <v>700</v>
      </c>
      <c r="D69" s="69"/>
      <c r="E69" s="69">
        <f t="shared" si="2"/>
        <v>0</v>
      </c>
      <c r="F69" s="75"/>
      <c r="G69" s="75"/>
      <c r="H69" s="75"/>
      <c r="I69" s="75"/>
      <c r="J69" s="75"/>
      <c r="K69" s="75"/>
      <c r="L69" s="75"/>
      <c r="M69" s="75"/>
      <c r="N69" s="76"/>
    </row>
    <row r="70" spans="1:14" s="38" customFormat="1" ht="12" customHeight="1">
      <c r="A70" s="271">
        <v>841191</v>
      </c>
      <c r="B70" s="269" t="s">
        <v>500</v>
      </c>
      <c r="C70" s="82" t="s">
        <v>207</v>
      </c>
      <c r="D70" s="69"/>
      <c r="E70" s="69">
        <f t="shared" si="2"/>
        <v>2800</v>
      </c>
      <c r="F70" s="75"/>
      <c r="G70" s="75"/>
      <c r="H70" s="75">
        <v>2800</v>
      </c>
      <c r="I70" s="75"/>
      <c r="J70" s="75"/>
      <c r="K70" s="75"/>
      <c r="L70" s="75"/>
      <c r="M70" s="75"/>
      <c r="N70" s="76"/>
    </row>
    <row r="71" spans="1:14" s="38" customFormat="1" ht="12" customHeight="1">
      <c r="A71" s="271"/>
      <c r="B71" s="269"/>
      <c r="C71" s="83" t="s">
        <v>700</v>
      </c>
      <c r="D71" s="69"/>
      <c r="E71" s="69">
        <f t="shared" si="2"/>
        <v>2800</v>
      </c>
      <c r="F71" s="75"/>
      <c r="G71" s="75"/>
      <c r="H71" s="75">
        <v>2800</v>
      </c>
      <c r="I71" s="75"/>
      <c r="J71" s="75"/>
      <c r="K71" s="75"/>
      <c r="L71" s="75"/>
      <c r="M71" s="75"/>
      <c r="N71" s="76"/>
    </row>
    <row r="72" spans="1:14" s="38" customFormat="1" ht="12" customHeight="1">
      <c r="A72" s="271">
        <v>841192</v>
      </c>
      <c r="B72" s="269" t="s">
        <v>471</v>
      </c>
      <c r="C72" s="82" t="s">
        <v>207</v>
      </c>
      <c r="D72" s="69">
        <v>1500</v>
      </c>
      <c r="E72" s="69">
        <f t="shared" si="2"/>
        <v>1000</v>
      </c>
      <c r="F72" s="75"/>
      <c r="G72" s="75"/>
      <c r="H72" s="75"/>
      <c r="I72" s="75">
        <v>1000</v>
      </c>
      <c r="J72" s="75"/>
      <c r="K72" s="75"/>
      <c r="L72" s="75"/>
      <c r="M72" s="262"/>
      <c r="N72" s="76"/>
    </row>
    <row r="73" spans="1:14" s="38" customFormat="1" ht="12" customHeight="1">
      <c r="A73" s="271"/>
      <c r="B73" s="269"/>
      <c r="C73" s="83" t="s">
        <v>700</v>
      </c>
      <c r="D73" s="69">
        <v>1500</v>
      </c>
      <c r="E73" s="69">
        <f t="shared" si="2"/>
        <v>1000</v>
      </c>
      <c r="F73" s="75"/>
      <c r="G73" s="75"/>
      <c r="H73" s="75"/>
      <c r="I73" s="75">
        <v>1000</v>
      </c>
      <c r="J73" s="75"/>
      <c r="K73" s="75"/>
      <c r="L73" s="75"/>
      <c r="M73" s="262"/>
      <c r="N73" s="76"/>
    </row>
    <row r="74" spans="1:14" s="38" customFormat="1" ht="12" customHeight="1">
      <c r="A74" s="271">
        <v>841192</v>
      </c>
      <c r="B74" s="269" t="s">
        <v>472</v>
      </c>
      <c r="C74" s="82" t="s">
        <v>207</v>
      </c>
      <c r="D74" s="69"/>
      <c r="E74" s="69">
        <f t="shared" si="2"/>
        <v>5080</v>
      </c>
      <c r="F74" s="75">
        <v>4000</v>
      </c>
      <c r="G74" s="75">
        <v>1080</v>
      </c>
      <c r="H74" s="75"/>
      <c r="I74" s="75"/>
      <c r="J74" s="75"/>
      <c r="K74" s="75"/>
      <c r="L74" s="75"/>
      <c r="M74" s="262"/>
      <c r="N74" s="76"/>
    </row>
    <row r="75" spans="1:14" s="38" customFormat="1" ht="12" customHeight="1">
      <c r="A75" s="271"/>
      <c r="B75" s="269"/>
      <c r="C75" s="83" t="s">
        <v>700</v>
      </c>
      <c r="D75" s="69"/>
      <c r="E75" s="69">
        <f t="shared" si="2"/>
        <v>5080</v>
      </c>
      <c r="F75" s="75">
        <v>4000</v>
      </c>
      <c r="G75" s="75">
        <v>1080</v>
      </c>
      <c r="H75" s="75"/>
      <c r="I75" s="75"/>
      <c r="J75" s="75"/>
      <c r="K75" s="75"/>
      <c r="L75" s="75"/>
      <c r="M75" s="262"/>
      <c r="N75" s="76"/>
    </row>
    <row r="76" spans="1:14" s="38" customFormat="1" ht="12" customHeight="1">
      <c r="A76" s="270">
        <v>841192</v>
      </c>
      <c r="B76" s="243" t="s">
        <v>501</v>
      </c>
      <c r="C76" s="83" t="s">
        <v>207</v>
      </c>
      <c r="D76" s="70"/>
      <c r="E76" s="70">
        <f t="shared" si="2"/>
        <v>15950</v>
      </c>
      <c r="F76" s="264"/>
      <c r="G76" s="264"/>
      <c r="H76" s="264">
        <v>12950</v>
      </c>
      <c r="I76" s="264"/>
      <c r="J76" s="264"/>
      <c r="K76" s="264"/>
      <c r="L76" s="264">
        <v>3000</v>
      </c>
      <c r="M76" s="264"/>
      <c r="N76" s="263"/>
    </row>
    <row r="77" spans="1:14" s="38" customFormat="1" ht="12" customHeight="1">
      <c r="A77" s="271"/>
      <c r="B77" s="269"/>
      <c r="C77" s="83" t="s">
        <v>700</v>
      </c>
      <c r="D77" s="69"/>
      <c r="E77" s="69">
        <f t="shared" si="2"/>
        <v>18450</v>
      </c>
      <c r="F77" s="75"/>
      <c r="G77" s="75"/>
      <c r="H77" s="75">
        <v>12950</v>
      </c>
      <c r="I77" s="75"/>
      <c r="J77" s="75"/>
      <c r="K77" s="75"/>
      <c r="L77" s="75">
        <v>5500</v>
      </c>
      <c r="M77" s="75"/>
      <c r="N77" s="76"/>
    </row>
    <row r="78" spans="1:14" s="38" customFormat="1" ht="12" customHeight="1">
      <c r="A78" s="271">
        <v>841401</v>
      </c>
      <c r="B78" s="269" t="s">
        <v>444</v>
      </c>
      <c r="C78" s="82" t="s">
        <v>207</v>
      </c>
      <c r="D78" s="69"/>
      <c r="E78" s="69">
        <f t="shared" si="2"/>
        <v>37514</v>
      </c>
      <c r="F78" s="69"/>
      <c r="G78" s="69"/>
      <c r="H78" s="69">
        <v>14014</v>
      </c>
      <c r="I78" s="69"/>
      <c r="J78" s="69"/>
      <c r="K78" s="69"/>
      <c r="L78" s="69">
        <v>23500</v>
      </c>
      <c r="M78" s="69"/>
      <c r="N78" s="73"/>
    </row>
    <row r="79" spans="1:14" s="38" customFormat="1" ht="12" customHeight="1">
      <c r="A79" s="271"/>
      <c r="B79" s="269"/>
      <c r="C79" s="83" t="s">
        <v>700</v>
      </c>
      <c r="D79" s="69"/>
      <c r="E79" s="69">
        <f t="shared" si="2"/>
        <v>37514</v>
      </c>
      <c r="F79" s="69"/>
      <c r="G79" s="69"/>
      <c r="H79" s="69">
        <v>14014</v>
      </c>
      <c r="I79" s="69"/>
      <c r="J79" s="69"/>
      <c r="K79" s="69"/>
      <c r="L79" s="69">
        <v>23500</v>
      </c>
      <c r="M79" s="69"/>
      <c r="N79" s="73"/>
    </row>
    <row r="80" spans="1:14" s="38" customFormat="1" ht="12" customHeight="1">
      <c r="A80" s="271">
        <v>841402</v>
      </c>
      <c r="B80" s="269" t="s">
        <v>453</v>
      </c>
      <c r="C80" s="82" t="s">
        <v>207</v>
      </c>
      <c r="D80" s="69"/>
      <c r="E80" s="69">
        <f t="shared" si="2"/>
        <v>75009</v>
      </c>
      <c r="F80" s="69"/>
      <c r="G80" s="69"/>
      <c r="H80" s="69">
        <v>69214</v>
      </c>
      <c r="I80" s="69"/>
      <c r="J80" s="69"/>
      <c r="K80" s="69"/>
      <c r="L80" s="69">
        <v>5795</v>
      </c>
      <c r="M80" s="69"/>
      <c r="N80" s="73"/>
    </row>
    <row r="81" spans="1:14" s="38" customFormat="1" ht="12" customHeight="1">
      <c r="A81" s="271"/>
      <c r="B81" s="269"/>
      <c r="C81" s="83" t="s">
        <v>700</v>
      </c>
      <c r="D81" s="69"/>
      <c r="E81" s="69">
        <f t="shared" si="2"/>
        <v>75009</v>
      </c>
      <c r="F81" s="69"/>
      <c r="G81" s="69"/>
      <c r="H81" s="69">
        <v>69214</v>
      </c>
      <c r="I81" s="69"/>
      <c r="J81" s="69"/>
      <c r="K81" s="69"/>
      <c r="L81" s="69">
        <v>5795</v>
      </c>
      <c r="M81" s="69"/>
      <c r="N81" s="73"/>
    </row>
    <row r="82" spans="1:14" s="38" customFormat="1" ht="11.25" customHeight="1">
      <c r="A82" s="271">
        <v>841403</v>
      </c>
      <c r="B82" s="269" t="s">
        <v>454</v>
      </c>
      <c r="C82" s="82" t="s">
        <v>207</v>
      </c>
      <c r="D82" s="69">
        <v>5000</v>
      </c>
      <c r="E82" s="69">
        <f t="shared" si="2"/>
        <v>64600</v>
      </c>
      <c r="F82" s="69"/>
      <c r="G82" s="69"/>
      <c r="H82" s="69">
        <v>6000</v>
      </c>
      <c r="I82" s="69">
        <v>58600</v>
      </c>
      <c r="J82" s="69"/>
      <c r="K82" s="69"/>
      <c r="L82" s="69"/>
      <c r="M82" s="69"/>
      <c r="N82" s="73"/>
    </row>
    <row r="83" spans="1:14" s="38" customFormat="1" ht="11.25" customHeight="1">
      <c r="A83" s="271"/>
      <c r="B83" s="269"/>
      <c r="C83" s="83" t="s">
        <v>700</v>
      </c>
      <c r="D83" s="69">
        <v>5000</v>
      </c>
      <c r="E83" s="69">
        <f t="shared" si="2"/>
        <v>98766</v>
      </c>
      <c r="F83" s="69"/>
      <c r="G83" s="69"/>
      <c r="H83" s="69">
        <v>6000</v>
      </c>
      <c r="I83" s="69">
        <v>70600</v>
      </c>
      <c r="J83" s="69"/>
      <c r="K83" s="69"/>
      <c r="L83" s="69"/>
      <c r="M83" s="69">
        <v>22166</v>
      </c>
      <c r="N83" s="73"/>
    </row>
    <row r="84" spans="1:14" s="38" customFormat="1" ht="12" customHeight="1">
      <c r="A84" s="271">
        <v>841403</v>
      </c>
      <c r="B84" s="269" t="s">
        <v>457</v>
      </c>
      <c r="C84" s="82" t="s">
        <v>207</v>
      </c>
      <c r="D84" s="69">
        <v>500</v>
      </c>
      <c r="E84" s="69">
        <f t="shared" si="2"/>
        <v>20040</v>
      </c>
      <c r="F84" s="69"/>
      <c r="G84" s="69"/>
      <c r="H84" s="69">
        <v>7540</v>
      </c>
      <c r="I84" s="69">
        <v>11300</v>
      </c>
      <c r="J84" s="69"/>
      <c r="K84" s="69">
        <v>800</v>
      </c>
      <c r="L84" s="69">
        <v>400</v>
      </c>
      <c r="M84" s="69"/>
      <c r="N84" s="73"/>
    </row>
    <row r="85" spans="1:14" s="38" customFormat="1" ht="12" customHeight="1">
      <c r="A85" s="271"/>
      <c r="B85" s="269"/>
      <c r="C85" s="83" t="s">
        <v>700</v>
      </c>
      <c r="D85" s="69">
        <v>500</v>
      </c>
      <c r="E85" s="69">
        <f aca="true" t="shared" si="3" ref="E85:E140">SUM(F85:N85)</f>
        <v>20040</v>
      </c>
      <c r="F85" s="69"/>
      <c r="G85" s="69"/>
      <c r="H85" s="69">
        <v>7540</v>
      </c>
      <c r="I85" s="69">
        <v>11300</v>
      </c>
      <c r="J85" s="69"/>
      <c r="K85" s="69">
        <v>800</v>
      </c>
      <c r="L85" s="69">
        <v>400</v>
      </c>
      <c r="M85" s="69"/>
      <c r="N85" s="73"/>
    </row>
    <row r="86" spans="1:14" s="38" customFormat="1" ht="12" customHeight="1">
      <c r="A86" s="271">
        <v>841403</v>
      </c>
      <c r="B86" s="269" t="s">
        <v>502</v>
      </c>
      <c r="C86" s="82" t="s">
        <v>207</v>
      </c>
      <c r="D86" s="69"/>
      <c r="E86" s="69">
        <f t="shared" si="3"/>
        <v>45000</v>
      </c>
      <c r="F86" s="75"/>
      <c r="G86" s="75"/>
      <c r="H86" s="75"/>
      <c r="I86" s="75">
        <v>45000</v>
      </c>
      <c r="J86" s="75"/>
      <c r="K86" s="75"/>
      <c r="L86" s="75"/>
      <c r="M86" s="75"/>
      <c r="N86" s="76"/>
    </row>
    <row r="87" spans="1:14" s="38" customFormat="1" ht="12" customHeight="1">
      <c r="A87" s="271"/>
      <c r="B87" s="269"/>
      <c r="C87" s="83" t="s">
        <v>700</v>
      </c>
      <c r="D87" s="69"/>
      <c r="E87" s="69">
        <f t="shared" si="3"/>
        <v>45000</v>
      </c>
      <c r="F87" s="75"/>
      <c r="G87" s="75"/>
      <c r="H87" s="75"/>
      <c r="I87" s="75">
        <v>45000</v>
      </c>
      <c r="J87" s="75"/>
      <c r="K87" s="75"/>
      <c r="L87" s="75"/>
      <c r="M87" s="75"/>
      <c r="N87" s="76"/>
    </row>
    <row r="88" spans="1:14" s="38" customFormat="1" ht="12" customHeight="1">
      <c r="A88" s="271">
        <v>841403</v>
      </c>
      <c r="B88" s="269" t="s">
        <v>506</v>
      </c>
      <c r="C88" s="82" t="s">
        <v>207</v>
      </c>
      <c r="D88" s="69"/>
      <c r="E88" s="69">
        <f t="shared" si="3"/>
        <v>15300</v>
      </c>
      <c r="F88" s="75">
        <v>1000</v>
      </c>
      <c r="G88" s="75">
        <v>300</v>
      </c>
      <c r="H88" s="75">
        <v>6500</v>
      </c>
      <c r="I88" s="75">
        <v>6000</v>
      </c>
      <c r="J88" s="75"/>
      <c r="K88" s="75"/>
      <c r="L88" s="75">
        <v>1500</v>
      </c>
      <c r="M88" s="75"/>
      <c r="N88" s="76"/>
    </row>
    <row r="89" spans="1:14" s="38" customFormat="1" ht="12" customHeight="1">
      <c r="A89" s="271"/>
      <c r="B89" s="269"/>
      <c r="C89" s="83" t="s">
        <v>700</v>
      </c>
      <c r="D89" s="69"/>
      <c r="E89" s="69">
        <f t="shared" si="3"/>
        <v>15400</v>
      </c>
      <c r="F89" s="75">
        <v>1000</v>
      </c>
      <c r="G89" s="75">
        <v>300</v>
      </c>
      <c r="H89" s="75">
        <v>6500</v>
      </c>
      <c r="I89" s="75">
        <v>6000</v>
      </c>
      <c r="J89" s="75"/>
      <c r="K89" s="75"/>
      <c r="L89" s="75">
        <v>1600</v>
      </c>
      <c r="M89" s="75"/>
      <c r="N89" s="76"/>
    </row>
    <row r="90" spans="1:14" s="38" customFormat="1" ht="12" customHeight="1">
      <c r="A90" s="271">
        <v>841901</v>
      </c>
      <c r="B90" s="269" t="s">
        <v>477</v>
      </c>
      <c r="C90" s="82" t="s">
        <v>207</v>
      </c>
      <c r="D90" s="69">
        <v>1383000</v>
      </c>
      <c r="E90" s="69">
        <f t="shared" si="3"/>
        <v>0</v>
      </c>
      <c r="F90" s="75"/>
      <c r="G90" s="75"/>
      <c r="H90" s="75"/>
      <c r="I90" s="75"/>
      <c r="J90" s="75"/>
      <c r="K90" s="75"/>
      <c r="L90" s="75"/>
      <c r="M90" s="262"/>
      <c r="N90" s="76"/>
    </row>
    <row r="91" spans="1:14" s="38" customFormat="1" ht="12" customHeight="1">
      <c r="A91" s="271"/>
      <c r="B91" s="269"/>
      <c r="C91" s="83" t="s">
        <v>700</v>
      </c>
      <c r="D91" s="69">
        <v>1383000</v>
      </c>
      <c r="E91" s="69">
        <f t="shared" si="3"/>
        <v>0</v>
      </c>
      <c r="F91" s="75"/>
      <c r="G91" s="75"/>
      <c r="H91" s="75"/>
      <c r="I91" s="75"/>
      <c r="J91" s="75"/>
      <c r="K91" s="75"/>
      <c r="L91" s="75"/>
      <c r="M91" s="262"/>
      <c r="N91" s="76"/>
    </row>
    <row r="92" spans="1:14" s="38" customFormat="1" ht="12" customHeight="1">
      <c r="A92" s="271">
        <v>841901</v>
      </c>
      <c r="B92" s="269" t="s">
        <v>478</v>
      </c>
      <c r="C92" s="82" t="s">
        <v>207</v>
      </c>
      <c r="D92" s="69">
        <v>1289530</v>
      </c>
      <c r="E92" s="69">
        <f t="shared" si="3"/>
        <v>0</v>
      </c>
      <c r="F92" s="75"/>
      <c r="G92" s="75"/>
      <c r="H92" s="75"/>
      <c r="I92" s="75"/>
      <c r="J92" s="75"/>
      <c r="K92" s="75"/>
      <c r="L92" s="75"/>
      <c r="M92" s="262"/>
      <c r="N92" s="76"/>
    </row>
    <row r="93" spans="1:14" s="38" customFormat="1" ht="12" customHeight="1">
      <c r="A93" s="271"/>
      <c r="B93" s="269"/>
      <c r="C93" s="83" t="s">
        <v>700</v>
      </c>
      <c r="D93" s="69">
        <v>1357358</v>
      </c>
      <c r="E93" s="69">
        <f t="shared" si="3"/>
        <v>0</v>
      </c>
      <c r="F93" s="75"/>
      <c r="G93" s="75"/>
      <c r="H93" s="75"/>
      <c r="I93" s="75"/>
      <c r="J93" s="75"/>
      <c r="K93" s="75"/>
      <c r="L93" s="75"/>
      <c r="M93" s="262"/>
      <c r="N93" s="76"/>
    </row>
    <row r="94" spans="1:14" s="38" customFormat="1" ht="12" customHeight="1">
      <c r="A94" s="271">
        <v>841901</v>
      </c>
      <c r="B94" s="269" t="s">
        <v>509</v>
      </c>
      <c r="C94" s="82" t="s">
        <v>207</v>
      </c>
      <c r="D94" s="69">
        <v>1500</v>
      </c>
      <c r="E94" s="69">
        <f t="shared" si="3"/>
        <v>0</v>
      </c>
      <c r="F94" s="75"/>
      <c r="G94" s="75"/>
      <c r="H94" s="75"/>
      <c r="I94" s="75"/>
      <c r="J94" s="75"/>
      <c r="K94" s="75"/>
      <c r="L94" s="75"/>
      <c r="M94" s="75"/>
      <c r="N94" s="76"/>
    </row>
    <row r="95" spans="1:14" s="38" customFormat="1" ht="12" customHeight="1">
      <c r="A95" s="271"/>
      <c r="B95" s="269"/>
      <c r="C95" s="83" t="s">
        <v>700</v>
      </c>
      <c r="D95" s="69">
        <v>1500</v>
      </c>
      <c r="E95" s="69">
        <f t="shared" si="3"/>
        <v>0</v>
      </c>
      <c r="F95" s="75"/>
      <c r="G95" s="75"/>
      <c r="H95" s="75"/>
      <c r="I95" s="75"/>
      <c r="J95" s="75"/>
      <c r="K95" s="75"/>
      <c r="L95" s="75"/>
      <c r="M95" s="75"/>
      <c r="N95" s="76"/>
    </row>
    <row r="96" spans="1:14" s="38" customFormat="1" ht="12" customHeight="1">
      <c r="A96" s="271">
        <v>841906</v>
      </c>
      <c r="B96" s="269" t="s">
        <v>507</v>
      </c>
      <c r="C96" s="82" t="s">
        <v>207</v>
      </c>
      <c r="D96" s="69"/>
      <c r="E96" s="69">
        <f t="shared" si="3"/>
        <v>150980</v>
      </c>
      <c r="F96" s="75"/>
      <c r="G96" s="75"/>
      <c r="H96" s="75">
        <v>131528</v>
      </c>
      <c r="I96" s="75">
        <v>5879</v>
      </c>
      <c r="J96" s="75"/>
      <c r="K96" s="75"/>
      <c r="L96" s="75"/>
      <c r="M96" s="75">
        <v>13573</v>
      </c>
      <c r="N96" s="76"/>
    </row>
    <row r="97" spans="1:14" s="38" customFormat="1" ht="12" customHeight="1">
      <c r="A97" s="271"/>
      <c r="B97" s="269"/>
      <c r="C97" s="83" t="s">
        <v>700</v>
      </c>
      <c r="D97" s="69"/>
      <c r="E97" s="69">
        <f t="shared" si="3"/>
        <v>150980</v>
      </c>
      <c r="F97" s="75"/>
      <c r="G97" s="75"/>
      <c r="H97" s="75">
        <v>131528</v>
      </c>
      <c r="I97" s="75">
        <v>5879</v>
      </c>
      <c r="J97" s="75"/>
      <c r="K97" s="75"/>
      <c r="L97" s="75"/>
      <c r="M97" s="75">
        <v>13573</v>
      </c>
      <c r="N97" s="76"/>
    </row>
    <row r="98" spans="1:14" s="38" customFormat="1" ht="12" customHeight="1">
      <c r="A98" s="271">
        <v>842155</v>
      </c>
      <c r="B98" s="269" t="s">
        <v>508</v>
      </c>
      <c r="C98" s="82" t="s">
        <v>207</v>
      </c>
      <c r="D98" s="69">
        <v>2700</v>
      </c>
      <c r="E98" s="69">
        <f t="shared" si="3"/>
        <v>12725</v>
      </c>
      <c r="F98" s="75"/>
      <c r="G98" s="75"/>
      <c r="H98" s="75">
        <v>12725</v>
      </c>
      <c r="I98" s="75"/>
      <c r="J98" s="75"/>
      <c r="K98" s="75"/>
      <c r="L98" s="75"/>
      <c r="M98" s="75"/>
      <c r="N98" s="76"/>
    </row>
    <row r="99" spans="1:14" s="38" customFormat="1" ht="12" customHeight="1">
      <c r="A99" s="271"/>
      <c r="B99" s="269"/>
      <c r="C99" s="83" t="s">
        <v>700</v>
      </c>
      <c r="D99" s="69">
        <v>2700</v>
      </c>
      <c r="E99" s="69">
        <f>SUM(F99:N99)</f>
        <v>12186</v>
      </c>
      <c r="F99" s="75"/>
      <c r="G99" s="75"/>
      <c r="H99" s="75">
        <v>12186</v>
      </c>
      <c r="I99" s="75"/>
      <c r="J99" s="75"/>
      <c r="K99" s="75"/>
      <c r="L99" s="75"/>
      <c r="M99" s="75"/>
      <c r="N99" s="76"/>
    </row>
    <row r="100" spans="1:14" s="38" customFormat="1" ht="12" customHeight="1">
      <c r="A100" s="271">
        <v>842155</v>
      </c>
      <c r="B100" s="269" t="s">
        <v>611</v>
      </c>
      <c r="C100" s="82" t="s">
        <v>207</v>
      </c>
      <c r="D100" s="69"/>
      <c r="E100" s="69">
        <f>SUM(F100:N100)</f>
        <v>0</v>
      </c>
      <c r="F100" s="75"/>
      <c r="G100" s="75"/>
      <c r="H100" s="75"/>
      <c r="I100" s="75"/>
      <c r="J100" s="75"/>
      <c r="K100" s="75"/>
      <c r="L100" s="75"/>
      <c r="M100" s="75"/>
      <c r="N100" s="76"/>
    </row>
    <row r="101" spans="1:14" s="38" customFormat="1" ht="12" customHeight="1">
      <c r="A101" s="271"/>
      <c r="B101" s="269"/>
      <c r="C101" s="83" t="s">
        <v>700</v>
      </c>
      <c r="D101" s="69">
        <v>9350</v>
      </c>
      <c r="E101" s="69">
        <f>SUM(F101:N101)</f>
        <v>9889</v>
      </c>
      <c r="F101" s="75">
        <v>453</v>
      </c>
      <c r="G101" s="75">
        <v>113</v>
      </c>
      <c r="H101" s="75">
        <v>9323</v>
      </c>
      <c r="I101" s="75"/>
      <c r="J101" s="75"/>
      <c r="K101" s="75"/>
      <c r="L101" s="75"/>
      <c r="M101" s="75"/>
      <c r="N101" s="76"/>
    </row>
    <row r="102" spans="1:14" s="38" customFormat="1" ht="12" customHeight="1">
      <c r="A102" s="272">
        <v>842421</v>
      </c>
      <c r="B102" s="275" t="s">
        <v>467</v>
      </c>
      <c r="C102" s="82" t="s">
        <v>207</v>
      </c>
      <c r="D102" s="69"/>
      <c r="E102" s="69">
        <f t="shared" si="3"/>
        <v>350</v>
      </c>
      <c r="F102" s="262"/>
      <c r="G102" s="262"/>
      <c r="H102" s="75"/>
      <c r="I102" s="262">
        <v>350</v>
      </c>
      <c r="J102" s="262"/>
      <c r="K102" s="262"/>
      <c r="L102" s="262"/>
      <c r="M102" s="262"/>
      <c r="N102" s="76"/>
    </row>
    <row r="103" spans="1:14" s="38" customFormat="1" ht="12" customHeight="1">
      <c r="A103" s="272"/>
      <c r="B103" s="275"/>
      <c r="C103" s="83" t="s">
        <v>700</v>
      </c>
      <c r="D103" s="69"/>
      <c r="E103" s="69">
        <f t="shared" si="3"/>
        <v>350</v>
      </c>
      <c r="F103" s="262"/>
      <c r="G103" s="262"/>
      <c r="H103" s="75"/>
      <c r="I103" s="262">
        <v>350</v>
      </c>
      <c r="J103" s="262"/>
      <c r="K103" s="262"/>
      <c r="L103" s="262"/>
      <c r="M103" s="262"/>
      <c r="N103" s="76"/>
    </row>
    <row r="104" spans="1:14" s="39" customFormat="1" ht="12" customHeight="1">
      <c r="A104" s="271">
        <v>842521</v>
      </c>
      <c r="B104" s="269" t="s">
        <v>462</v>
      </c>
      <c r="C104" s="82" t="s">
        <v>207</v>
      </c>
      <c r="D104" s="69"/>
      <c r="E104" s="69">
        <f t="shared" si="3"/>
        <v>250</v>
      </c>
      <c r="F104" s="69"/>
      <c r="G104" s="69"/>
      <c r="H104" s="69">
        <v>250</v>
      </c>
      <c r="I104" s="69"/>
      <c r="J104" s="69"/>
      <c r="K104" s="69"/>
      <c r="L104" s="69"/>
      <c r="M104" s="69"/>
      <c r="N104" s="73"/>
    </row>
    <row r="105" spans="1:14" s="39" customFormat="1" ht="12" customHeight="1">
      <c r="A105" s="271"/>
      <c r="B105" s="269"/>
      <c r="C105" s="83" t="s">
        <v>700</v>
      </c>
      <c r="D105" s="69"/>
      <c r="E105" s="69">
        <f t="shared" si="3"/>
        <v>250</v>
      </c>
      <c r="F105" s="69"/>
      <c r="G105" s="69"/>
      <c r="H105" s="69">
        <v>250</v>
      </c>
      <c r="I105" s="69"/>
      <c r="J105" s="69"/>
      <c r="K105" s="69"/>
      <c r="L105" s="69"/>
      <c r="M105" s="69"/>
      <c r="N105" s="73"/>
    </row>
    <row r="106" spans="1:14" s="38" customFormat="1" ht="12" customHeight="1">
      <c r="A106" s="271">
        <v>842521</v>
      </c>
      <c r="B106" s="269" t="s">
        <v>463</v>
      </c>
      <c r="C106" s="82" t="s">
        <v>207</v>
      </c>
      <c r="D106" s="69"/>
      <c r="E106" s="69">
        <f t="shared" si="3"/>
        <v>0</v>
      </c>
      <c r="F106" s="69"/>
      <c r="G106" s="69"/>
      <c r="H106" s="69"/>
      <c r="I106" s="69">
        <v>0</v>
      </c>
      <c r="J106" s="69"/>
      <c r="K106" s="69"/>
      <c r="L106" s="69"/>
      <c r="M106" s="69"/>
      <c r="N106" s="73"/>
    </row>
    <row r="107" spans="1:14" s="38" customFormat="1" ht="12" customHeight="1">
      <c r="A107" s="271"/>
      <c r="B107" s="269"/>
      <c r="C107" s="83" t="s">
        <v>700</v>
      </c>
      <c r="D107" s="69"/>
      <c r="E107" s="69">
        <f t="shared" si="3"/>
        <v>2500</v>
      </c>
      <c r="F107" s="69"/>
      <c r="G107" s="69"/>
      <c r="H107" s="69"/>
      <c r="I107" s="69">
        <v>2500</v>
      </c>
      <c r="J107" s="69"/>
      <c r="K107" s="69"/>
      <c r="L107" s="69"/>
      <c r="M107" s="69"/>
      <c r="N107" s="73"/>
    </row>
    <row r="108" spans="1:14" s="38" customFormat="1" ht="12" customHeight="1">
      <c r="A108" s="271">
        <v>851011</v>
      </c>
      <c r="B108" s="269" t="s">
        <v>479</v>
      </c>
      <c r="C108" s="82" t="s">
        <v>207</v>
      </c>
      <c r="D108" s="69"/>
      <c r="E108" s="69">
        <f t="shared" si="3"/>
        <v>6000</v>
      </c>
      <c r="F108" s="75"/>
      <c r="G108" s="75"/>
      <c r="H108" s="75"/>
      <c r="I108" s="75">
        <v>6000</v>
      </c>
      <c r="J108" s="75"/>
      <c r="K108" s="75"/>
      <c r="L108" s="75"/>
      <c r="M108" s="262"/>
      <c r="N108" s="76"/>
    </row>
    <row r="109" spans="1:14" s="38" customFormat="1" ht="12" customHeight="1">
      <c r="A109" s="271"/>
      <c r="B109" s="269"/>
      <c r="C109" s="83" t="s">
        <v>700</v>
      </c>
      <c r="D109" s="69"/>
      <c r="E109" s="69">
        <f t="shared" si="3"/>
        <v>11156</v>
      </c>
      <c r="F109" s="75"/>
      <c r="G109" s="75"/>
      <c r="H109" s="75"/>
      <c r="I109" s="75">
        <v>8000</v>
      </c>
      <c r="J109" s="75"/>
      <c r="K109" s="75"/>
      <c r="L109" s="75">
        <v>3156</v>
      </c>
      <c r="M109" s="262"/>
      <c r="N109" s="76"/>
    </row>
    <row r="110" spans="1:14" s="38" customFormat="1" ht="12" customHeight="1">
      <c r="A110" s="271">
        <v>852000</v>
      </c>
      <c r="B110" s="269" t="s">
        <v>480</v>
      </c>
      <c r="C110" s="82" t="s">
        <v>207</v>
      </c>
      <c r="D110" s="69">
        <v>30366</v>
      </c>
      <c r="E110" s="69">
        <f t="shared" si="3"/>
        <v>2000</v>
      </c>
      <c r="F110" s="75"/>
      <c r="G110" s="75"/>
      <c r="H110" s="75"/>
      <c r="I110" s="75">
        <v>2000</v>
      </c>
      <c r="J110" s="75"/>
      <c r="K110" s="75"/>
      <c r="L110" s="75"/>
      <c r="M110" s="262"/>
      <c r="N110" s="76"/>
    </row>
    <row r="111" spans="1:14" s="38" customFormat="1" ht="12" customHeight="1">
      <c r="A111" s="271"/>
      <c r="B111" s="269"/>
      <c r="C111" s="83" t="s">
        <v>700</v>
      </c>
      <c r="D111" s="69">
        <v>30366</v>
      </c>
      <c r="E111" s="69">
        <f t="shared" si="3"/>
        <v>930</v>
      </c>
      <c r="F111" s="75"/>
      <c r="G111" s="75"/>
      <c r="H111" s="75"/>
      <c r="I111" s="75">
        <v>930</v>
      </c>
      <c r="J111" s="75"/>
      <c r="K111" s="75"/>
      <c r="L111" s="75"/>
      <c r="M111" s="262"/>
      <c r="N111" s="76"/>
    </row>
    <row r="112" spans="1:14" s="38" customFormat="1" ht="12" customHeight="1">
      <c r="A112" s="271">
        <v>852000</v>
      </c>
      <c r="B112" s="269" t="s">
        <v>483</v>
      </c>
      <c r="C112" s="82" t="s">
        <v>207</v>
      </c>
      <c r="D112" s="69"/>
      <c r="E112" s="69">
        <f t="shared" si="3"/>
        <v>1000</v>
      </c>
      <c r="F112" s="75"/>
      <c r="G112" s="75"/>
      <c r="H112" s="75"/>
      <c r="I112" s="75">
        <v>1000</v>
      </c>
      <c r="J112" s="75"/>
      <c r="K112" s="75"/>
      <c r="L112" s="75"/>
      <c r="M112" s="262"/>
      <c r="N112" s="76"/>
    </row>
    <row r="113" spans="1:14" s="38" customFormat="1" ht="12" customHeight="1">
      <c r="A113" s="271"/>
      <c r="B113" s="269"/>
      <c r="C113" s="83" t="s">
        <v>700</v>
      </c>
      <c r="D113" s="69"/>
      <c r="E113" s="69">
        <f t="shared" si="3"/>
        <v>1000</v>
      </c>
      <c r="F113" s="75"/>
      <c r="G113" s="75"/>
      <c r="H113" s="75"/>
      <c r="I113" s="75">
        <v>1000</v>
      </c>
      <c r="J113" s="75"/>
      <c r="K113" s="75"/>
      <c r="L113" s="75"/>
      <c r="M113" s="262"/>
      <c r="N113" s="76"/>
    </row>
    <row r="114" spans="1:14" s="38" customFormat="1" ht="12" customHeight="1">
      <c r="A114" s="271">
        <v>852000</v>
      </c>
      <c r="B114" s="269" t="s">
        <v>491</v>
      </c>
      <c r="C114" s="82" t="s">
        <v>207</v>
      </c>
      <c r="D114" s="69">
        <v>134994</v>
      </c>
      <c r="E114" s="69">
        <f t="shared" si="3"/>
        <v>149993</v>
      </c>
      <c r="F114" s="75"/>
      <c r="G114" s="75"/>
      <c r="H114" s="75"/>
      <c r="I114" s="75"/>
      <c r="J114" s="75"/>
      <c r="K114" s="75"/>
      <c r="L114" s="75">
        <v>149993</v>
      </c>
      <c r="M114" s="75"/>
      <c r="N114" s="76"/>
    </row>
    <row r="115" spans="1:14" s="38" customFormat="1" ht="12" customHeight="1">
      <c r="A115" s="271"/>
      <c r="B115" s="269"/>
      <c r="C115" s="83" t="s">
        <v>700</v>
      </c>
      <c r="D115" s="69">
        <v>134994</v>
      </c>
      <c r="E115" s="69">
        <f t="shared" si="3"/>
        <v>155759</v>
      </c>
      <c r="F115" s="75"/>
      <c r="G115" s="75"/>
      <c r="H115" s="75"/>
      <c r="I115" s="75"/>
      <c r="J115" s="75"/>
      <c r="K115" s="75"/>
      <c r="L115" s="75">
        <v>155759</v>
      </c>
      <c r="M115" s="75"/>
      <c r="N115" s="76"/>
    </row>
    <row r="116" spans="1:14" s="38" customFormat="1" ht="12" customHeight="1">
      <c r="A116" s="271">
        <v>854233</v>
      </c>
      <c r="B116" s="269" t="s">
        <v>481</v>
      </c>
      <c r="C116" s="82" t="s">
        <v>207</v>
      </c>
      <c r="D116" s="69"/>
      <c r="E116" s="69">
        <f t="shared" si="3"/>
        <v>400</v>
      </c>
      <c r="F116" s="75"/>
      <c r="G116" s="75"/>
      <c r="H116" s="75"/>
      <c r="I116" s="75">
        <v>400</v>
      </c>
      <c r="J116" s="75"/>
      <c r="K116" s="75"/>
      <c r="L116" s="75"/>
      <c r="M116" s="262"/>
      <c r="N116" s="76"/>
    </row>
    <row r="117" spans="1:14" s="38" customFormat="1" ht="12" customHeight="1">
      <c r="A117" s="271"/>
      <c r="B117" s="269"/>
      <c r="C117" s="83" t="s">
        <v>700</v>
      </c>
      <c r="D117" s="69"/>
      <c r="E117" s="69">
        <f t="shared" si="3"/>
        <v>400</v>
      </c>
      <c r="F117" s="75"/>
      <c r="G117" s="75"/>
      <c r="H117" s="75"/>
      <c r="I117" s="75">
        <v>400</v>
      </c>
      <c r="J117" s="75"/>
      <c r="K117" s="75"/>
      <c r="L117" s="75"/>
      <c r="M117" s="262"/>
      <c r="N117" s="76"/>
    </row>
    <row r="118" spans="1:14" s="38" customFormat="1" ht="12" customHeight="1">
      <c r="A118" s="271">
        <v>854234</v>
      </c>
      <c r="B118" s="269" t="s">
        <v>482</v>
      </c>
      <c r="C118" s="82" t="s">
        <v>207</v>
      </c>
      <c r="D118" s="69"/>
      <c r="E118" s="69">
        <f t="shared" si="3"/>
        <v>5000</v>
      </c>
      <c r="F118" s="75"/>
      <c r="G118" s="75"/>
      <c r="H118" s="75"/>
      <c r="I118" s="75">
        <v>5000</v>
      </c>
      <c r="J118" s="75"/>
      <c r="K118" s="75"/>
      <c r="L118" s="75"/>
      <c r="M118" s="262"/>
      <c r="N118" s="76"/>
    </row>
    <row r="119" spans="1:14" s="38" customFormat="1" ht="12" customHeight="1">
      <c r="A119" s="271"/>
      <c r="B119" s="269"/>
      <c r="C119" s="83" t="s">
        <v>700</v>
      </c>
      <c r="D119" s="69"/>
      <c r="E119" s="69">
        <f t="shared" si="3"/>
        <v>5000</v>
      </c>
      <c r="F119" s="75"/>
      <c r="G119" s="75"/>
      <c r="H119" s="75"/>
      <c r="I119" s="75">
        <v>5000</v>
      </c>
      <c r="J119" s="75"/>
      <c r="K119" s="75"/>
      <c r="L119" s="75"/>
      <c r="M119" s="262"/>
      <c r="N119" s="76"/>
    </row>
    <row r="120" spans="1:14" s="38" customFormat="1" ht="12" customHeight="1">
      <c r="A120" s="271">
        <v>855100</v>
      </c>
      <c r="B120" s="269" t="s">
        <v>492</v>
      </c>
      <c r="C120" s="82" t="s">
        <v>207</v>
      </c>
      <c r="D120" s="69">
        <v>5000</v>
      </c>
      <c r="E120" s="69">
        <f t="shared" si="3"/>
        <v>39000</v>
      </c>
      <c r="F120" s="75"/>
      <c r="G120" s="75"/>
      <c r="H120" s="75">
        <v>39000</v>
      </c>
      <c r="I120" s="75"/>
      <c r="J120" s="75"/>
      <c r="K120" s="75"/>
      <c r="L120" s="75"/>
      <c r="M120" s="75"/>
      <c r="N120" s="76"/>
    </row>
    <row r="121" spans="1:14" s="38" customFormat="1" ht="12" customHeight="1">
      <c r="A121" s="271"/>
      <c r="B121" s="269"/>
      <c r="C121" s="83" t="s">
        <v>700</v>
      </c>
      <c r="D121" s="69">
        <v>5000</v>
      </c>
      <c r="E121" s="69">
        <f t="shared" si="3"/>
        <v>39000</v>
      </c>
      <c r="F121" s="75"/>
      <c r="G121" s="75"/>
      <c r="H121" s="75">
        <v>39000</v>
      </c>
      <c r="I121" s="75"/>
      <c r="J121" s="75"/>
      <c r="K121" s="75"/>
      <c r="L121" s="75"/>
      <c r="M121" s="75"/>
      <c r="N121" s="76"/>
    </row>
    <row r="122" spans="1:14" s="38" customFormat="1" ht="12" customHeight="1">
      <c r="A122" s="271">
        <v>856000</v>
      </c>
      <c r="B122" s="269" t="s">
        <v>485</v>
      </c>
      <c r="C122" s="82" t="s">
        <v>207</v>
      </c>
      <c r="D122" s="69"/>
      <c r="E122" s="69">
        <f t="shared" si="3"/>
        <v>1500</v>
      </c>
      <c r="F122" s="75"/>
      <c r="G122" s="75"/>
      <c r="H122" s="75">
        <v>1500</v>
      </c>
      <c r="I122" s="75"/>
      <c r="J122" s="75"/>
      <c r="K122" s="75"/>
      <c r="L122" s="75"/>
      <c r="M122" s="75"/>
      <c r="N122" s="76"/>
    </row>
    <row r="123" spans="1:14" s="38" customFormat="1" ht="12" customHeight="1">
      <c r="A123" s="271"/>
      <c r="B123" s="269"/>
      <c r="C123" s="83" t="s">
        <v>700</v>
      </c>
      <c r="D123" s="69"/>
      <c r="E123" s="69">
        <f t="shared" si="3"/>
        <v>6500</v>
      </c>
      <c r="F123" s="75"/>
      <c r="G123" s="75"/>
      <c r="H123" s="75">
        <v>1500</v>
      </c>
      <c r="I123" s="75">
        <v>5000</v>
      </c>
      <c r="J123" s="75"/>
      <c r="K123" s="75"/>
      <c r="L123" s="75"/>
      <c r="M123" s="75"/>
      <c r="N123" s="76"/>
    </row>
    <row r="124" spans="1:14" s="38" customFormat="1" ht="12" customHeight="1">
      <c r="A124" s="271">
        <v>862000</v>
      </c>
      <c r="B124" s="269" t="s">
        <v>489</v>
      </c>
      <c r="C124" s="82" t="s">
        <v>207</v>
      </c>
      <c r="D124" s="69"/>
      <c r="E124" s="69">
        <f t="shared" si="3"/>
        <v>5550</v>
      </c>
      <c r="F124" s="75"/>
      <c r="G124" s="75"/>
      <c r="H124" s="75"/>
      <c r="I124" s="75">
        <v>5550</v>
      </c>
      <c r="J124" s="75"/>
      <c r="K124" s="75"/>
      <c r="L124" s="75"/>
      <c r="M124" s="75"/>
      <c r="N124" s="76"/>
    </row>
    <row r="125" spans="1:14" s="38" customFormat="1" ht="12" customHeight="1">
      <c r="A125" s="271"/>
      <c r="B125" s="269"/>
      <c r="C125" s="83" t="s">
        <v>700</v>
      </c>
      <c r="D125" s="69"/>
      <c r="E125" s="69">
        <f t="shared" si="3"/>
        <v>5550</v>
      </c>
      <c r="F125" s="75"/>
      <c r="G125" s="75"/>
      <c r="H125" s="75"/>
      <c r="I125" s="75">
        <v>5550</v>
      </c>
      <c r="J125" s="75"/>
      <c r="K125" s="75"/>
      <c r="L125" s="75"/>
      <c r="M125" s="75"/>
      <c r="N125" s="76"/>
    </row>
    <row r="126" spans="1:14" s="38" customFormat="1" ht="12" customHeight="1">
      <c r="A126" s="271">
        <v>880000</v>
      </c>
      <c r="B126" s="269" t="s">
        <v>612</v>
      </c>
      <c r="C126" s="82" t="s">
        <v>207</v>
      </c>
      <c r="D126" s="69"/>
      <c r="E126" s="69">
        <f t="shared" si="3"/>
        <v>0</v>
      </c>
      <c r="F126" s="75"/>
      <c r="G126" s="75"/>
      <c r="H126" s="75"/>
      <c r="I126" s="75"/>
      <c r="J126" s="75"/>
      <c r="K126" s="75"/>
      <c r="L126" s="75"/>
      <c r="M126" s="75"/>
      <c r="N126" s="76"/>
    </row>
    <row r="127" spans="1:14" s="38" customFormat="1" ht="12" customHeight="1" thickBot="1">
      <c r="A127" s="278"/>
      <c r="B127" s="279"/>
      <c r="C127" s="235" t="s">
        <v>700</v>
      </c>
      <c r="D127" s="94">
        <v>1250</v>
      </c>
      <c r="E127" s="94">
        <f t="shared" si="3"/>
        <v>1300</v>
      </c>
      <c r="F127" s="346"/>
      <c r="G127" s="346"/>
      <c r="H127" s="346">
        <v>1300</v>
      </c>
      <c r="I127" s="346"/>
      <c r="J127" s="346"/>
      <c r="K127" s="346"/>
      <c r="L127" s="346"/>
      <c r="M127" s="346"/>
      <c r="N127" s="350"/>
    </row>
    <row r="128" spans="1:14" s="38" customFormat="1" ht="12" customHeight="1" thickTop="1">
      <c r="A128" s="569" t="s">
        <v>267</v>
      </c>
      <c r="B128" s="570"/>
      <c r="C128" s="570"/>
      <c r="D128" s="575" t="s">
        <v>172</v>
      </c>
      <c r="E128" s="578" t="s">
        <v>268</v>
      </c>
      <c r="F128" s="68" t="s">
        <v>269</v>
      </c>
      <c r="G128" s="68"/>
      <c r="H128" s="68"/>
      <c r="I128" s="273"/>
      <c r="J128" s="273"/>
      <c r="K128" s="68" t="s">
        <v>205</v>
      </c>
      <c r="L128" s="68"/>
      <c r="M128" s="581" t="s">
        <v>345</v>
      </c>
      <c r="N128" s="587" t="s">
        <v>248</v>
      </c>
    </row>
    <row r="129" spans="1:14" s="38" customFormat="1" ht="12" customHeight="1">
      <c r="A129" s="571"/>
      <c r="B129" s="572"/>
      <c r="C129" s="572"/>
      <c r="D129" s="576"/>
      <c r="E129" s="579"/>
      <c r="F129" s="584" t="s">
        <v>339</v>
      </c>
      <c r="G129" s="584" t="s">
        <v>340</v>
      </c>
      <c r="H129" s="584" t="s">
        <v>341</v>
      </c>
      <c r="I129" s="584" t="s">
        <v>342</v>
      </c>
      <c r="J129" s="584" t="s">
        <v>344</v>
      </c>
      <c r="K129" s="585" t="s">
        <v>263</v>
      </c>
      <c r="L129" s="585" t="s">
        <v>244</v>
      </c>
      <c r="M129" s="582"/>
      <c r="N129" s="588"/>
    </row>
    <row r="130" spans="1:14" s="38" customFormat="1" ht="39" customHeight="1" thickBot="1">
      <c r="A130" s="573"/>
      <c r="B130" s="574"/>
      <c r="C130" s="574"/>
      <c r="D130" s="577"/>
      <c r="E130" s="580"/>
      <c r="F130" s="583"/>
      <c r="G130" s="583"/>
      <c r="H130" s="583"/>
      <c r="I130" s="583"/>
      <c r="J130" s="583"/>
      <c r="K130" s="586"/>
      <c r="L130" s="586"/>
      <c r="M130" s="583"/>
      <c r="N130" s="589"/>
    </row>
    <row r="131" spans="1:14" s="38" customFormat="1" ht="12" customHeight="1" thickTop="1">
      <c r="A131" s="271">
        <v>882000</v>
      </c>
      <c r="B131" s="269" t="s">
        <v>488</v>
      </c>
      <c r="C131" s="82" t="s">
        <v>207</v>
      </c>
      <c r="D131" s="69"/>
      <c r="E131" s="69">
        <f t="shared" si="3"/>
        <v>6500</v>
      </c>
      <c r="F131" s="75"/>
      <c r="G131" s="75"/>
      <c r="H131" s="75"/>
      <c r="I131" s="75">
        <v>6500</v>
      </c>
      <c r="J131" s="75"/>
      <c r="K131" s="75"/>
      <c r="L131" s="75"/>
      <c r="M131" s="75"/>
      <c r="N131" s="76"/>
    </row>
    <row r="132" spans="1:14" s="38" customFormat="1" ht="12" customHeight="1">
      <c r="A132" s="271"/>
      <c r="B132" s="269"/>
      <c r="C132" s="83" t="s">
        <v>700</v>
      </c>
      <c r="D132" s="69"/>
      <c r="E132" s="69">
        <f t="shared" si="3"/>
        <v>7980</v>
      </c>
      <c r="F132" s="75"/>
      <c r="G132" s="75"/>
      <c r="H132" s="75"/>
      <c r="I132" s="75">
        <v>7980</v>
      </c>
      <c r="J132" s="75"/>
      <c r="K132" s="75"/>
      <c r="L132" s="75"/>
      <c r="M132" s="75"/>
      <c r="N132" s="76"/>
    </row>
    <row r="133" spans="1:14" s="38" customFormat="1" ht="12" customHeight="1">
      <c r="A133" s="271">
        <v>882111</v>
      </c>
      <c r="B133" s="269" t="s">
        <v>326</v>
      </c>
      <c r="C133" s="82" t="s">
        <v>207</v>
      </c>
      <c r="D133" s="69">
        <v>67186</v>
      </c>
      <c r="E133" s="69">
        <f t="shared" si="3"/>
        <v>82251</v>
      </c>
      <c r="F133" s="75"/>
      <c r="G133" s="75"/>
      <c r="H133" s="75"/>
      <c r="I133" s="75"/>
      <c r="J133" s="75">
        <v>82251</v>
      </c>
      <c r="K133" s="75"/>
      <c r="L133" s="75"/>
      <c r="M133" s="75"/>
      <c r="N133" s="76"/>
    </row>
    <row r="134" spans="1:14" s="38" customFormat="1" ht="12" customHeight="1">
      <c r="A134" s="329"/>
      <c r="B134" s="330"/>
      <c r="C134" s="83" t="s">
        <v>700</v>
      </c>
      <c r="D134" s="331">
        <v>67186</v>
      </c>
      <c r="E134" s="69">
        <f t="shared" si="3"/>
        <v>82251</v>
      </c>
      <c r="F134" s="332"/>
      <c r="G134" s="332"/>
      <c r="H134" s="332"/>
      <c r="I134" s="332"/>
      <c r="J134" s="332">
        <v>82251</v>
      </c>
      <c r="K134" s="332"/>
      <c r="L134" s="332"/>
      <c r="M134" s="332"/>
      <c r="N134" s="333"/>
    </row>
    <row r="135" spans="1:14" s="38" customFormat="1" ht="12" customHeight="1">
      <c r="A135" s="271">
        <v>882112</v>
      </c>
      <c r="B135" s="269" t="s">
        <v>131</v>
      </c>
      <c r="C135" s="82" t="s">
        <v>207</v>
      </c>
      <c r="D135" s="69">
        <v>1170</v>
      </c>
      <c r="E135" s="69">
        <f t="shared" si="3"/>
        <v>1300</v>
      </c>
      <c r="F135" s="69"/>
      <c r="G135" s="69"/>
      <c r="H135" s="69"/>
      <c r="I135" s="69"/>
      <c r="J135" s="69">
        <v>1300</v>
      </c>
      <c r="K135" s="69"/>
      <c r="L135" s="69"/>
      <c r="M135" s="69"/>
      <c r="N135" s="73"/>
    </row>
    <row r="136" spans="1:14" s="38" customFormat="1" ht="12" customHeight="1">
      <c r="A136" s="334"/>
      <c r="B136" s="335"/>
      <c r="C136" s="83" t="s">
        <v>700</v>
      </c>
      <c r="D136" s="336">
        <v>1170</v>
      </c>
      <c r="E136" s="69">
        <f t="shared" si="3"/>
        <v>1300</v>
      </c>
      <c r="F136" s="336"/>
      <c r="G136" s="336"/>
      <c r="H136" s="336"/>
      <c r="I136" s="336"/>
      <c r="J136" s="336">
        <v>1300</v>
      </c>
      <c r="K136" s="336"/>
      <c r="L136" s="336"/>
      <c r="M136" s="336"/>
      <c r="N136" s="337"/>
    </row>
    <row r="137" spans="1:14" s="38" customFormat="1" ht="12" customHeight="1">
      <c r="A137" s="271">
        <v>882113</v>
      </c>
      <c r="B137" s="269" t="s">
        <v>435</v>
      </c>
      <c r="C137" s="82" t="s">
        <v>207</v>
      </c>
      <c r="D137" s="69">
        <v>10800</v>
      </c>
      <c r="E137" s="69">
        <f t="shared" si="3"/>
        <v>12000</v>
      </c>
      <c r="F137" s="69"/>
      <c r="G137" s="69"/>
      <c r="H137" s="69"/>
      <c r="I137" s="69"/>
      <c r="J137" s="69">
        <v>12000</v>
      </c>
      <c r="K137" s="69"/>
      <c r="L137" s="69"/>
      <c r="M137" s="69"/>
      <c r="N137" s="73"/>
    </row>
    <row r="138" spans="1:14" s="38" customFormat="1" ht="12" customHeight="1">
      <c r="A138" s="271"/>
      <c r="B138" s="269"/>
      <c r="C138" s="83" t="s">
        <v>700</v>
      </c>
      <c r="D138" s="69">
        <v>10800</v>
      </c>
      <c r="E138" s="69">
        <f t="shared" si="3"/>
        <v>12000</v>
      </c>
      <c r="F138" s="69"/>
      <c r="G138" s="69"/>
      <c r="H138" s="69"/>
      <c r="I138" s="69"/>
      <c r="J138" s="69">
        <v>12000</v>
      </c>
      <c r="K138" s="69"/>
      <c r="L138" s="69"/>
      <c r="M138" s="69"/>
      <c r="N138" s="73"/>
    </row>
    <row r="139" spans="1:14" s="38" customFormat="1" ht="12" customHeight="1">
      <c r="A139" s="271">
        <v>882114</v>
      </c>
      <c r="B139" s="269" t="s">
        <v>493</v>
      </c>
      <c r="C139" s="82" t="s">
        <v>207</v>
      </c>
      <c r="D139" s="69"/>
      <c r="E139" s="69">
        <f t="shared" si="3"/>
        <v>15000</v>
      </c>
      <c r="F139" s="75"/>
      <c r="G139" s="75"/>
      <c r="H139" s="75"/>
      <c r="I139" s="75"/>
      <c r="J139" s="75">
        <v>15000</v>
      </c>
      <c r="K139" s="75"/>
      <c r="L139" s="75"/>
      <c r="M139" s="75"/>
      <c r="N139" s="76"/>
    </row>
    <row r="140" spans="1:14" s="38" customFormat="1" ht="12" customHeight="1">
      <c r="A140" s="270"/>
      <c r="B140" s="243"/>
      <c r="C140" s="83" t="s">
        <v>700</v>
      </c>
      <c r="D140" s="70"/>
      <c r="E140" s="69">
        <f t="shared" si="3"/>
        <v>15000</v>
      </c>
      <c r="F140" s="264"/>
      <c r="G140" s="264"/>
      <c r="H140" s="264"/>
      <c r="I140" s="264"/>
      <c r="J140" s="264">
        <v>15000</v>
      </c>
      <c r="K140" s="264"/>
      <c r="L140" s="264"/>
      <c r="M140" s="264"/>
      <c r="N140" s="263"/>
    </row>
    <row r="141" spans="1:14" s="38" customFormat="1" ht="12" customHeight="1">
      <c r="A141" s="270">
        <v>882115</v>
      </c>
      <c r="B141" s="243" t="s">
        <v>494</v>
      </c>
      <c r="C141" s="83" t="s">
        <v>207</v>
      </c>
      <c r="D141" s="70">
        <v>21469</v>
      </c>
      <c r="E141" s="70">
        <f>SUM(F141:N141)</f>
        <v>31088</v>
      </c>
      <c r="F141" s="264"/>
      <c r="G141" s="264">
        <v>8003</v>
      </c>
      <c r="H141" s="264"/>
      <c r="I141" s="264"/>
      <c r="J141" s="264">
        <v>23085</v>
      </c>
      <c r="K141" s="264"/>
      <c r="L141" s="264"/>
      <c r="M141" s="264"/>
      <c r="N141" s="263"/>
    </row>
    <row r="142" spans="1:14" s="38" customFormat="1" ht="12" customHeight="1">
      <c r="A142" s="271"/>
      <c r="B142" s="269"/>
      <c r="C142" s="83" t="s">
        <v>700</v>
      </c>
      <c r="D142" s="69">
        <v>21469</v>
      </c>
      <c r="E142" s="69">
        <f>SUM(F142:N142)</f>
        <v>31088</v>
      </c>
      <c r="F142" s="75"/>
      <c r="G142" s="75">
        <v>8003</v>
      </c>
      <c r="H142" s="75"/>
      <c r="I142" s="75"/>
      <c r="J142" s="75">
        <v>23085</v>
      </c>
      <c r="K142" s="75"/>
      <c r="L142" s="75"/>
      <c r="M142" s="75"/>
      <c r="N142" s="76"/>
    </row>
    <row r="143" spans="1:14" s="38" customFormat="1" ht="12" customHeight="1">
      <c r="A143" s="270">
        <v>882116</v>
      </c>
      <c r="B143" s="243" t="s">
        <v>495</v>
      </c>
      <c r="C143" s="83" t="s">
        <v>207</v>
      </c>
      <c r="D143" s="70"/>
      <c r="E143" s="70">
        <f>SUM(F143:N143)</f>
        <v>10260</v>
      </c>
      <c r="F143" s="264"/>
      <c r="G143" s="264"/>
      <c r="H143" s="264"/>
      <c r="I143" s="264"/>
      <c r="J143" s="264">
        <v>10260</v>
      </c>
      <c r="K143" s="264"/>
      <c r="L143" s="264"/>
      <c r="M143" s="264"/>
      <c r="N143" s="263"/>
    </row>
    <row r="144" spans="1:14" s="38" customFormat="1" ht="12" customHeight="1">
      <c r="A144" s="271"/>
      <c r="B144" s="269"/>
      <c r="C144" s="83" t="s">
        <v>700</v>
      </c>
      <c r="D144" s="69"/>
      <c r="E144" s="69">
        <f>SUM(F144:N144)</f>
        <v>10260</v>
      </c>
      <c r="F144" s="75"/>
      <c r="G144" s="75"/>
      <c r="H144" s="75"/>
      <c r="I144" s="75"/>
      <c r="J144" s="75">
        <v>10260</v>
      </c>
      <c r="K144" s="75"/>
      <c r="L144" s="75"/>
      <c r="M144" s="75"/>
      <c r="N144" s="76"/>
    </row>
    <row r="145" spans="1:14" s="38" customFormat="1" ht="12" customHeight="1">
      <c r="A145" s="271">
        <v>882117</v>
      </c>
      <c r="B145" s="269" t="s">
        <v>496</v>
      </c>
      <c r="C145" s="82" t="s">
        <v>207</v>
      </c>
      <c r="D145" s="69">
        <v>6600</v>
      </c>
      <c r="E145" s="69">
        <f aca="true" t="shared" si="4" ref="E145:E202">SUM(F145:N145)</f>
        <v>6600</v>
      </c>
      <c r="F145" s="75"/>
      <c r="G145" s="75"/>
      <c r="H145" s="75"/>
      <c r="I145" s="75"/>
      <c r="J145" s="75">
        <v>6600</v>
      </c>
      <c r="K145" s="75"/>
      <c r="L145" s="75"/>
      <c r="M145" s="75"/>
      <c r="N145" s="76"/>
    </row>
    <row r="146" spans="1:14" s="38" customFormat="1" ht="12" customHeight="1">
      <c r="A146" s="271"/>
      <c r="B146" s="269"/>
      <c r="C146" s="83" t="s">
        <v>700</v>
      </c>
      <c r="D146" s="69">
        <v>6600</v>
      </c>
      <c r="E146" s="69">
        <f t="shared" si="4"/>
        <v>6600</v>
      </c>
      <c r="F146" s="75"/>
      <c r="G146" s="75"/>
      <c r="H146" s="75"/>
      <c r="I146" s="75"/>
      <c r="J146" s="75">
        <v>6600</v>
      </c>
      <c r="K146" s="75"/>
      <c r="L146" s="75"/>
      <c r="M146" s="75"/>
      <c r="N146" s="76"/>
    </row>
    <row r="147" spans="1:14" s="38" customFormat="1" ht="12" customHeight="1">
      <c r="A147" s="271">
        <v>882122</v>
      </c>
      <c r="B147" s="269" t="s">
        <v>331</v>
      </c>
      <c r="C147" s="82" t="s">
        <v>207</v>
      </c>
      <c r="D147" s="69"/>
      <c r="E147" s="69">
        <f t="shared" si="4"/>
        <v>20000</v>
      </c>
      <c r="F147" s="75"/>
      <c r="G147" s="75"/>
      <c r="H147" s="75"/>
      <c r="I147" s="75"/>
      <c r="J147" s="75">
        <v>20000</v>
      </c>
      <c r="K147" s="75"/>
      <c r="L147" s="75"/>
      <c r="M147" s="75"/>
      <c r="N147" s="76"/>
    </row>
    <row r="148" spans="1:14" s="38" customFormat="1" ht="12" customHeight="1">
      <c r="A148" s="271"/>
      <c r="B148" s="269"/>
      <c r="C148" s="83" t="s">
        <v>700</v>
      </c>
      <c r="D148" s="69"/>
      <c r="E148" s="69">
        <f t="shared" si="4"/>
        <v>20000</v>
      </c>
      <c r="F148" s="75"/>
      <c r="G148" s="75"/>
      <c r="H148" s="75"/>
      <c r="I148" s="75"/>
      <c r="J148" s="75">
        <v>20000</v>
      </c>
      <c r="K148" s="75"/>
      <c r="L148" s="75"/>
      <c r="M148" s="75"/>
      <c r="N148" s="76"/>
    </row>
    <row r="149" spans="1:14" s="38" customFormat="1" ht="12" customHeight="1">
      <c r="A149" s="271">
        <v>882123</v>
      </c>
      <c r="B149" s="269" t="s">
        <v>332</v>
      </c>
      <c r="C149" s="82" t="s">
        <v>207</v>
      </c>
      <c r="D149" s="69"/>
      <c r="E149" s="69">
        <f t="shared" si="4"/>
        <v>6500</v>
      </c>
      <c r="F149" s="75"/>
      <c r="G149" s="75"/>
      <c r="H149" s="75"/>
      <c r="I149" s="75"/>
      <c r="J149" s="75">
        <v>6500</v>
      </c>
      <c r="K149" s="75"/>
      <c r="L149" s="75"/>
      <c r="M149" s="75"/>
      <c r="N149" s="76"/>
    </row>
    <row r="150" spans="1:14" s="38" customFormat="1" ht="12" customHeight="1">
      <c r="A150" s="271"/>
      <c r="B150" s="269"/>
      <c r="C150" s="83" t="s">
        <v>700</v>
      </c>
      <c r="D150" s="69"/>
      <c r="E150" s="69">
        <f t="shared" si="4"/>
        <v>6500</v>
      </c>
      <c r="F150" s="75"/>
      <c r="G150" s="75"/>
      <c r="H150" s="75"/>
      <c r="I150" s="75"/>
      <c r="J150" s="75">
        <v>6500</v>
      </c>
      <c r="K150" s="75"/>
      <c r="L150" s="75"/>
      <c r="M150" s="75"/>
      <c r="N150" s="76"/>
    </row>
    <row r="151" spans="1:14" s="38" customFormat="1" ht="12" customHeight="1">
      <c r="A151" s="271">
        <v>882124</v>
      </c>
      <c r="B151" s="269" t="s">
        <v>497</v>
      </c>
      <c r="C151" s="82" t="s">
        <v>207</v>
      </c>
      <c r="D151" s="69"/>
      <c r="E151" s="69">
        <f t="shared" si="4"/>
        <v>32000</v>
      </c>
      <c r="F151" s="75"/>
      <c r="G151" s="75"/>
      <c r="H151" s="75"/>
      <c r="I151" s="75"/>
      <c r="J151" s="75">
        <v>32000</v>
      </c>
      <c r="K151" s="75"/>
      <c r="L151" s="75"/>
      <c r="M151" s="75"/>
      <c r="N151" s="76"/>
    </row>
    <row r="152" spans="1:14" s="38" customFormat="1" ht="12" customHeight="1">
      <c r="A152" s="271"/>
      <c r="B152" s="269"/>
      <c r="C152" s="83" t="s">
        <v>700</v>
      </c>
      <c r="D152" s="69"/>
      <c r="E152" s="69">
        <f t="shared" si="4"/>
        <v>32781</v>
      </c>
      <c r="F152" s="75"/>
      <c r="G152" s="75"/>
      <c r="H152" s="75"/>
      <c r="I152" s="75"/>
      <c r="J152" s="75">
        <v>32781</v>
      </c>
      <c r="K152" s="75"/>
      <c r="L152" s="75"/>
      <c r="M152" s="75"/>
      <c r="N152" s="76"/>
    </row>
    <row r="153" spans="1:14" s="38" customFormat="1" ht="12" customHeight="1">
      <c r="A153" s="271">
        <v>882125</v>
      </c>
      <c r="B153" s="269" t="s">
        <v>319</v>
      </c>
      <c r="C153" s="82" t="s">
        <v>207</v>
      </c>
      <c r="D153" s="69">
        <v>1500</v>
      </c>
      <c r="E153" s="69">
        <f t="shared" si="4"/>
        <v>1500</v>
      </c>
      <c r="F153" s="75"/>
      <c r="G153" s="75"/>
      <c r="H153" s="75"/>
      <c r="I153" s="75"/>
      <c r="J153" s="75">
        <v>1500</v>
      </c>
      <c r="K153" s="75"/>
      <c r="L153" s="75"/>
      <c r="M153" s="75"/>
      <c r="N153" s="76"/>
    </row>
    <row r="154" spans="1:14" s="38" customFormat="1" ht="12" customHeight="1">
      <c r="A154" s="271"/>
      <c r="B154" s="269"/>
      <c r="C154" s="83" t="s">
        <v>700</v>
      </c>
      <c r="D154" s="69">
        <v>1500</v>
      </c>
      <c r="E154" s="69">
        <f t="shared" si="4"/>
        <v>1500</v>
      </c>
      <c r="F154" s="75"/>
      <c r="G154" s="75"/>
      <c r="H154" s="75"/>
      <c r="I154" s="75"/>
      <c r="J154" s="75">
        <v>1500</v>
      </c>
      <c r="K154" s="75"/>
      <c r="L154" s="75"/>
      <c r="M154" s="75"/>
      <c r="N154" s="76"/>
    </row>
    <row r="155" spans="1:14" s="38" customFormat="1" ht="12" customHeight="1">
      <c r="A155" s="271">
        <v>882129</v>
      </c>
      <c r="B155" s="269" t="s">
        <v>466</v>
      </c>
      <c r="C155" s="82" t="s">
        <v>207</v>
      </c>
      <c r="D155" s="69"/>
      <c r="E155" s="69">
        <f t="shared" si="4"/>
        <v>5296</v>
      </c>
      <c r="F155" s="75">
        <v>3696</v>
      </c>
      <c r="G155" s="75">
        <v>1020</v>
      </c>
      <c r="H155" s="75">
        <v>580</v>
      </c>
      <c r="I155" s="75"/>
      <c r="J155" s="75"/>
      <c r="K155" s="75"/>
      <c r="L155" s="75"/>
      <c r="M155" s="262"/>
      <c r="N155" s="76"/>
    </row>
    <row r="156" spans="1:14" s="38" customFormat="1" ht="12" customHeight="1">
      <c r="A156" s="271"/>
      <c r="B156" s="269"/>
      <c r="C156" s="83" t="s">
        <v>700</v>
      </c>
      <c r="D156" s="69"/>
      <c r="E156" s="69">
        <f t="shared" si="4"/>
        <v>5296</v>
      </c>
      <c r="F156" s="75">
        <v>3696</v>
      </c>
      <c r="G156" s="75">
        <v>1020</v>
      </c>
      <c r="H156" s="75">
        <v>580</v>
      </c>
      <c r="I156" s="75"/>
      <c r="J156" s="75"/>
      <c r="K156" s="75"/>
      <c r="L156" s="75"/>
      <c r="M156" s="262"/>
      <c r="N156" s="76"/>
    </row>
    <row r="157" spans="1:14" s="38" customFormat="1" ht="12" customHeight="1">
      <c r="A157" s="271">
        <v>882129</v>
      </c>
      <c r="B157" s="269" t="s">
        <v>498</v>
      </c>
      <c r="C157" s="82" t="s">
        <v>207</v>
      </c>
      <c r="D157" s="69"/>
      <c r="E157" s="69">
        <f t="shared" si="4"/>
        <v>200</v>
      </c>
      <c r="F157" s="75"/>
      <c r="G157" s="75"/>
      <c r="H157" s="75"/>
      <c r="I157" s="75"/>
      <c r="J157" s="75">
        <v>200</v>
      </c>
      <c r="K157" s="75"/>
      <c r="L157" s="75"/>
      <c r="M157" s="75"/>
      <c r="N157" s="76"/>
    </row>
    <row r="158" spans="1:14" s="38" customFormat="1" ht="12" customHeight="1">
      <c r="A158" s="271"/>
      <c r="B158" s="269"/>
      <c r="C158" s="83" t="s">
        <v>700</v>
      </c>
      <c r="D158" s="69"/>
      <c r="E158" s="69">
        <f t="shared" si="4"/>
        <v>200</v>
      </c>
      <c r="F158" s="75"/>
      <c r="G158" s="75"/>
      <c r="H158" s="75"/>
      <c r="I158" s="75"/>
      <c r="J158" s="75">
        <v>200</v>
      </c>
      <c r="K158" s="75"/>
      <c r="L158" s="75"/>
      <c r="M158" s="75"/>
      <c r="N158" s="76"/>
    </row>
    <row r="159" spans="1:14" s="38" customFormat="1" ht="12" customHeight="1">
      <c r="A159" s="271">
        <v>882201</v>
      </c>
      <c r="B159" s="269" t="s">
        <v>499</v>
      </c>
      <c r="C159" s="82" t="s">
        <v>207</v>
      </c>
      <c r="D159" s="69">
        <v>4500</v>
      </c>
      <c r="E159" s="69">
        <f t="shared" si="4"/>
        <v>5000</v>
      </c>
      <c r="F159" s="75"/>
      <c r="G159" s="75"/>
      <c r="H159" s="75"/>
      <c r="I159" s="75"/>
      <c r="J159" s="75">
        <v>5000</v>
      </c>
      <c r="K159" s="75"/>
      <c r="L159" s="75"/>
      <c r="M159" s="75"/>
      <c r="N159" s="76"/>
    </row>
    <row r="160" spans="1:14" s="38" customFormat="1" ht="12" customHeight="1">
      <c r="A160" s="271"/>
      <c r="B160" s="269"/>
      <c r="C160" s="83" t="s">
        <v>700</v>
      </c>
      <c r="D160" s="69">
        <v>4500</v>
      </c>
      <c r="E160" s="69">
        <f t="shared" si="4"/>
        <v>5000</v>
      </c>
      <c r="F160" s="75"/>
      <c r="G160" s="75"/>
      <c r="H160" s="75"/>
      <c r="I160" s="75"/>
      <c r="J160" s="75">
        <v>5000</v>
      </c>
      <c r="K160" s="75"/>
      <c r="L160" s="75"/>
      <c r="M160" s="75"/>
      <c r="N160" s="76"/>
    </row>
    <row r="161" spans="1:14" s="38" customFormat="1" ht="12" customHeight="1">
      <c r="A161" s="271">
        <v>882202</v>
      </c>
      <c r="B161" s="269" t="s">
        <v>133</v>
      </c>
      <c r="C161" s="82" t="s">
        <v>207</v>
      </c>
      <c r="D161" s="69"/>
      <c r="E161" s="69">
        <f t="shared" si="4"/>
        <v>2000</v>
      </c>
      <c r="F161" s="75"/>
      <c r="G161" s="75"/>
      <c r="H161" s="75"/>
      <c r="I161" s="75"/>
      <c r="J161" s="75">
        <v>2000</v>
      </c>
      <c r="K161" s="75"/>
      <c r="L161" s="75"/>
      <c r="M161" s="75"/>
      <c r="N161" s="76"/>
    </row>
    <row r="162" spans="1:14" s="38" customFormat="1" ht="12" customHeight="1">
      <c r="A162" s="271"/>
      <c r="B162" s="269"/>
      <c r="C162" s="83" t="s">
        <v>700</v>
      </c>
      <c r="D162" s="69"/>
      <c r="E162" s="69">
        <f t="shared" si="4"/>
        <v>2000</v>
      </c>
      <c r="F162" s="75"/>
      <c r="G162" s="75"/>
      <c r="H162" s="75"/>
      <c r="I162" s="75"/>
      <c r="J162" s="75">
        <v>2000</v>
      </c>
      <c r="K162" s="75"/>
      <c r="L162" s="75"/>
      <c r="M162" s="75"/>
      <c r="N162" s="76"/>
    </row>
    <row r="163" spans="1:14" s="38" customFormat="1" ht="12" customHeight="1">
      <c r="A163" s="271">
        <v>882203</v>
      </c>
      <c r="B163" s="269" t="s">
        <v>132</v>
      </c>
      <c r="C163" s="82" t="s">
        <v>207</v>
      </c>
      <c r="D163" s="69"/>
      <c r="E163" s="69">
        <f t="shared" si="4"/>
        <v>1500</v>
      </c>
      <c r="F163" s="75"/>
      <c r="G163" s="75"/>
      <c r="H163" s="75"/>
      <c r="I163" s="75"/>
      <c r="J163" s="75">
        <v>1500</v>
      </c>
      <c r="K163" s="75"/>
      <c r="L163" s="75"/>
      <c r="M163" s="75"/>
      <c r="N163" s="76"/>
    </row>
    <row r="164" spans="1:14" s="38" customFormat="1" ht="12" customHeight="1">
      <c r="A164" s="271"/>
      <c r="B164" s="269"/>
      <c r="C164" s="83" t="s">
        <v>700</v>
      </c>
      <c r="D164" s="69"/>
      <c r="E164" s="69">
        <f t="shared" si="4"/>
        <v>1500</v>
      </c>
      <c r="F164" s="75"/>
      <c r="G164" s="75"/>
      <c r="H164" s="75"/>
      <c r="I164" s="75"/>
      <c r="J164" s="75">
        <v>1500</v>
      </c>
      <c r="K164" s="75"/>
      <c r="L164" s="75"/>
      <c r="M164" s="75"/>
      <c r="N164" s="76"/>
    </row>
    <row r="165" spans="1:14" s="38" customFormat="1" ht="12" customHeight="1">
      <c r="A165" s="271">
        <v>889101</v>
      </c>
      <c r="B165" s="269" t="s">
        <v>487</v>
      </c>
      <c r="C165" s="82" t="s">
        <v>207</v>
      </c>
      <c r="D165" s="69"/>
      <c r="E165" s="69">
        <f t="shared" si="4"/>
        <v>5000</v>
      </c>
      <c r="F165" s="75"/>
      <c r="G165" s="75"/>
      <c r="H165" s="75"/>
      <c r="I165" s="75">
        <v>5000</v>
      </c>
      <c r="J165" s="75"/>
      <c r="K165" s="75"/>
      <c r="L165" s="75"/>
      <c r="M165" s="75"/>
      <c r="N165" s="76"/>
    </row>
    <row r="166" spans="1:14" s="38" customFormat="1" ht="12" customHeight="1">
      <c r="A166" s="271"/>
      <c r="B166" s="269"/>
      <c r="C166" s="83" t="s">
        <v>700</v>
      </c>
      <c r="D166" s="69"/>
      <c r="E166" s="69">
        <f t="shared" si="4"/>
        <v>7000</v>
      </c>
      <c r="F166" s="75"/>
      <c r="G166" s="75"/>
      <c r="H166" s="75"/>
      <c r="I166" s="75">
        <v>7000</v>
      </c>
      <c r="J166" s="75"/>
      <c r="K166" s="75"/>
      <c r="L166" s="75"/>
      <c r="M166" s="75"/>
      <c r="N166" s="76"/>
    </row>
    <row r="167" spans="1:14" s="38" customFormat="1" ht="12" customHeight="1">
      <c r="A167" s="271">
        <v>889102</v>
      </c>
      <c r="B167" s="269" t="s">
        <v>613</v>
      </c>
      <c r="C167" s="82" t="s">
        <v>207</v>
      </c>
      <c r="D167" s="69"/>
      <c r="E167" s="69">
        <f t="shared" si="4"/>
        <v>0</v>
      </c>
      <c r="F167" s="75"/>
      <c r="G167" s="75"/>
      <c r="H167" s="75"/>
      <c r="I167" s="75"/>
      <c r="J167" s="75"/>
      <c r="K167" s="75"/>
      <c r="L167" s="75"/>
      <c r="M167" s="75"/>
      <c r="N167" s="76"/>
    </row>
    <row r="168" spans="1:14" s="38" customFormat="1" ht="12" customHeight="1">
      <c r="A168" s="271"/>
      <c r="B168" s="269"/>
      <c r="C168" s="83" t="s">
        <v>700</v>
      </c>
      <c r="D168" s="69"/>
      <c r="E168" s="69">
        <f t="shared" si="4"/>
        <v>1200</v>
      </c>
      <c r="F168" s="75"/>
      <c r="G168" s="75"/>
      <c r="H168" s="75"/>
      <c r="I168" s="75">
        <v>1200</v>
      </c>
      <c r="J168" s="75"/>
      <c r="K168" s="75"/>
      <c r="L168" s="75"/>
      <c r="M168" s="75"/>
      <c r="N168" s="76"/>
    </row>
    <row r="169" spans="1:14" s="38" customFormat="1" ht="12" customHeight="1">
      <c r="A169" s="271">
        <v>889922</v>
      </c>
      <c r="B169" s="269" t="s">
        <v>0</v>
      </c>
      <c r="C169" s="82" t="s">
        <v>207</v>
      </c>
      <c r="D169" s="69">
        <v>1900</v>
      </c>
      <c r="E169" s="69">
        <f t="shared" si="4"/>
        <v>1900</v>
      </c>
      <c r="F169" s="75"/>
      <c r="G169" s="75"/>
      <c r="H169" s="75"/>
      <c r="I169" s="75"/>
      <c r="J169" s="75"/>
      <c r="K169" s="75"/>
      <c r="L169" s="75"/>
      <c r="M169" s="75"/>
      <c r="N169" s="76">
        <v>1900</v>
      </c>
    </row>
    <row r="170" spans="1:14" s="38" customFormat="1" ht="12" customHeight="1">
      <c r="A170" s="271"/>
      <c r="B170" s="269"/>
      <c r="C170" s="83" t="s">
        <v>700</v>
      </c>
      <c r="D170" s="69">
        <v>1900</v>
      </c>
      <c r="E170" s="69">
        <f t="shared" si="4"/>
        <v>1900</v>
      </c>
      <c r="F170" s="75"/>
      <c r="G170" s="75"/>
      <c r="H170" s="75"/>
      <c r="I170" s="75"/>
      <c r="J170" s="75"/>
      <c r="K170" s="75"/>
      <c r="L170" s="75"/>
      <c r="M170" s="75"/>
      <c r="N170" s="76">
        <v>1900</v>
      </c>
    </row>
    <row r="171" spans="1:14" s="38" customFormat="1" ht="12" customHeight="1">
      <c r="A171" s="271">
        <v>889925</v>
      </c>
      <c r="B171" s="269" t="s">
        <v>397</v>
      </c>
      <c r="C171" s="82" t="s">
        <v>207</v>
      </c>
      <c r="D171" s="69">
        <v>17002</v>
      </c>
      <c r="E171" s="69">
        <f t="shared" si="4"/>
        <v>0</v>
      </c>
      <c r="F171" s="75"/>
      <c r="G171" s="75"/>
      <c r="H171" s="75"/>
      <c r="I171" s="75"/>
      <c r="J171" s="75"/>
      <c r="K171" s="75"/>
      <c r="L171" s="75"/>
      <c r="M171" s="75"/>
      <c r="N171" s="76"/>
    </row>
    <row r="172" spans="1:14" s="38" customFormat="1" ht="12" customHeight="1">
      <c r="A172" s="271"/>
      <c r="B172" s="269"/>
      <c r="C172" s="83" t="s">
        <v>700</v>
      </c>
      <c r="D172" s="69">
        <v>17002</v>
      </c>
      <c r="E172" s="69">
        <f t="shared" si="4"/>
        <v>0</v>
      </c>
      <c r="F172" s="75"/>
      <c r="G172" s="75"/>
      <c r="H172" s="75"/>
      <c r="I172" s="75"/>
      <c r="J172" s="75"/>
      <c r="K172" s="75"/>
      <c r="L172" s="75"/>
      <c r="M172" s="75"/>
      <c r="N172" s="76"/>
    </row>
    <row r="173" spans="1:14" s="38" customFormat="1" ht="12" customHeight="1">
      <c r="A173" s="271">
        <v>889926</v>
      </c>
      <c r="B173" s="269" t="s">
        <v>398</v>
      </c>
      <c r="C173" s="82" t="s">
        <v>207</v>
      </c>
      <c r="D173" s="69">
        <v>8493</v>
      </c>
      <c r="E173" s="69">
        <f t="shared" si="4"/>
        <v>493</v>
      </c>
      <c r="F173" s="75"/>
      <c r="G173" s="75"/>
      <c r="H173" s="75"/>
      <c r="I173" s="75"/>
      <c r="J173" s="75"/>
      <c r="K173" s="75"/>
      <c r="L173" s="75"/>
      <c r="M173" s="75"/>
      <c r="N173" s="76">
        <v>493</v>
      </c>
    </row>
    <row r="174" spans="1:14" s="38" customFormat="1" ht="12" customHeight="1">
      <c r="A174" s="271"/>
      <c r="B174" s="269"/>
      <c r="C174" s="83" t="s">
        <v>700</v>
      </c>
      <c r="D174" s="69">
        <v>8493</v>
      </c>
      <c r="E174" s="69">
        <f t="shared" si="4"/>
        <v>493</v>
      </c>
      <c r="F174" s="75"/>
      <c r="G174" s="75"/>
      <c r="H174" s="75"/>
      <c r="I174" s="75"/>
      <c r="J174" s="75"/>
      <c r="K174" s="75"/>
      <c r="L174" s="75"/>
      <c r="M174" s="75"/>
      <c r="N174" s="76">
        <v>493</v>
      </c>
    </row>
    <row r="175" spans="1:14" s="38" customFormat="1" ht="12" customHeight="1">
      <c r="A175" s="271">
        <v>889936</v>
      </c>
      <c r="B175" s="269" t="s">
        <v>154</v>
      </c>
      <c r="C175" s="82" t="s">
        <v>207</v>
      </c>
      <c r="D175" s="69">
        <v>4500</v>
      </c>
      <c r="E175" s="69">
        <f t="shared" si="4"/>
        <v>4500</v>
      </c>
      <c r="F175" s="75"/>
      <c r="G175" s="75"/>
      <c r="H175" s="75"/>
      <c r="I175" s="75"/>
      <c r="J175" s="75">
        <v>4500</v>
      </c>
      <c r="K175" s="75"/>
      <c r="L175" s="75"/>
      <c r="M175" s="262"/>
      <c r="N175" s="76"/>
    </row>
    <row r="176" spans="1:14" s="38" customFormat="1" ht="12" customHeight="1">
      <c r="A176" s="271"/>
      <c r="B176" s="269"/>
      <c r="C176" s="83" t="s">
        <v>700</v>
      </c>
      <c r="D176" s="69">
        <v>4500</v>
      </c>
      <c r="E176" s="69">
        <f t="shared" si="4"/>
        <v>4500</v>
      </c>
      <c r="F176" s="75"/>
      <c r="G176" s="75"/>
      <c r="H176" s="75"/>
      <c r="I176" s="75"/>
      <c r="J176" s="75">
        <v>4500</v>
      </c>
      <c r="K176" s="75"/>
      <c r="L176" s="75"/>
      <c r="M176" s="262"/>
      <c r="N176" s="76"/>
    </row>
    <row r="177" spans="1:14" s="38" customFormat="1" ht="12" customHeight="1">
      <c r="A177" s="271">
        <v>889942</v>
      </c>
      <c r="B177" s="269" t="s">
        <v>460</v>
      </c>
      <c r="C177" s="82" t="s">
        <v>207</v>
      </c>
      <c r="D177" s="69">
        <v>7400</v>
      </c>
      <c r="E177" s="69">
        <f t="shared" si="4"/>
        <v>8000</v>
      </c>
      <c r="F177" s="69"/>
      <c r="G177" s="69"/>
      <c r="H177" s="69"/>
      <c r="I177" s="69">
        <v>1000</v>
      </c>
      <c r="J177" s="69"/>
      <c r="K177" s="69"/>
      <c r="L177" s="69"/>
      <c r="M177" s="69">
        <v>7000</v>
      </c>
      <c r="N177" s="73"/>
    </row>
    <row r="178" spans="1:14" s="38" customFormat="1" ht="12" customHeight="1">
      <c r="A178" s="271"/>
      <c r="B178" s="269"/>
      <c r="C178" s="83" t="s">
        <v>700</v>
      </c>
      <c r="D178" s="69">
        <v>7400</v>
      </c>
      <c r="E178" s="69">
        <f t="shared" si="4"/>
        <v>8000</v>
      </c>
      <c r="F178" s="69"/>
      <c r="G178" s="69"/>
      <c r="H178" s="69"/>
      <c r="I178" s="69">
        <v>1000</v>
      </c>
      <c r="J178" s="69"/>
      <c r="K178" s="69"/>
      <c r="L178" s="69"/>
      <c r="M178" s="69">
        <v>7000</v>
      </c>
      <c r="N178" s="73"/>
    </row>
    <row r="179" spans="1:14" s="38" customFormat="1" ht="12" customHeight="1">
      <c r="A179" s="271">
        <v>889943</v>
      </c>
      <c r="B179" s="269" t="s">
        <v>461</v>
      </c>
      <c r="C179" s="82" t="s">
        <v>207</v>
      </c>
      <c r="D179" s="69">
        <v>1600</v>
      </c>
      <c r="E179" s="69">
        <f t="shared" si="4"/>
        <v>1500</v>
      </c>
      <c r="F179" s="69"/>
      <c r="G179" s="69"/>
      <c r="H179" s="69"/>
      <c r="I179" s="69"/>
      <c r="J179" s="69"/>
      <c r="K179" s="69"/>
      <c r="L179" s="69"/>
      <c r="M179" s="69">
        <v>1500</v>
      </c>
      <c r="N179" s="73"/>
    </row>
    <row r="180" spans="1:14" s="38" customFormat="1" ht="12" customHeight="1">
      <c r="A180" s="271"/>
      <c r="B180" s="269"/>
      <c r="C180" s="83" t="s">
        <v>700</v>
      </c>
      <c r="D180" s="69">
        <v>1600</v>
      </c>
      <c r="E180" s="69">
        <f t="shared" si="4"/>
        <v>1500</v>
      </c>
      <c r="F180" s="69"/>
      <c r="G180" s="69"/>
      <c r="H180" s="69"/>
      <c r="I180" s="69"/>
      <c r="J180" s="69"/>
      <c r="K180" s="69"/>
      <c r="L180" s="69"/>
      <c r="M180" s="69">
        <v>1500</v>
      </c>
      <c r="N180" s="73"/>
    </row>
    <row r="181" spans="1:14" s="38" customFormat="1" ht="12" customHeight="1">
      <c r="A181" s="271">
        <v>890216</v>
      </c>
      <c r="B181" s="269" t="s">
        <v>484</v>
      </c>
      <c r="C181" s="82" t="s">
        <v>207</v>
      </c>
      <c r="D181" s="69"/>
      <c r="E181" s="69">
        <f t="shared" si="4"/>
        <v>4400</v>
      </c>
      <c r="F181" s="75"/>
      <c r="G181" s="75"/>
      <c r="H181" s="75">
        <v>4400</v>
      </c>
      <c r="I181" s="75"/>
      <c r="J181" s="75"/>
      <c r="K181" s="75"/>
      <c r="L181" s="75"/>
      <c r="M181" s="75"/>
      <c r="N181" s="76"/>
    </row>
    <row r="182" spans="1:14" s="38" customFormat="1" ht="12" customHeight="1">
      <c r="A182" s="271"/>
      <c r="B182" s="269"/>
      <c r="C182" s="83" t="s">
        <v>700</v>
      </c>
      <c r="D182" s="69"/>
      <c r="E182" s="69">
        <f t="shared" si="4"/>
        <v>4400</v>
      </c>
      <c r="F182" s="75"/>
      <c r="G182" s="75"/>
      <c r="H182" s="75">
        <v>4400</v>
      </c>
      <c r="I182" s="75"/>
      <c r="J182" s="75"/>
      <c r="K182" s="75"/>
      <c r="L182" s="75"/>
      <c r="M182" s="75"/>
      <c r="N182" s="76"/>
    </row>
    <row r="183" spans="1:14" s="38" customFormat="1" ht="12" customHeight="1">
      <c r="A183" s="271">
        <v>890441</v>
      </c>
      <c r="B183" s="269" t="s">
        <v>464</v>
      </c>
      <c r="C183" s="82" t="s">
        <v>207</v>
      </c>
      <c r="D183" s="69">
        <v>74000</v>
      </c>
      <c r="E183" s="69">
        <f t="shared" si="4"/>
        <v>81740</v>
      </c>
      <c r="F183" s="75">
        <v>61740</v>
      </c>
      <c r="G183" s="75">
        <v>17000</v>
      </c>
      <c r="H183" s="75">
        <v>3000</v>
      </c>
      <c r="I183" s="75"/>
      <c r="J183" s="75"/>
      <c r="K183" s="75"/>
      <c r="L183" s="75"/>
      <c r="M183" s="75"/>
      <c r="N183" s="76"/>
    </row>
    <row r="184" spans="1:14" s="38" customFormat="1" ht="12" customHeight="1">
      <c r="A184" s="271"/>
      <c r="B184" s="269"/>
      <c r="C184" s="83" t="s">
        <v>700</v>
      </c>
      <c r="D184" s="69">
        <v>74000</v>
      </c>
      <c r="E184" s="69">
        <f t="shared" si="4"/>
        <v>81740</v>
      </c>
      <c r="F184" s="75">
        <v>61740</v>
      </c>
      <c r="G184" s="75">
        <v>17000</v>
      </c>
      <c r="H184" s="75">
        <v>3000</v>
      </c>
      <c r="I184" s="75"/>
      <c r="J184" s="75"/>
      <c r="K184" s="75"/>
      <c r="L184" s="75"/>
      <c r="M184" s="75"/>
      <c r="N184" s="76"/>
    </row>
    <row r="185" spans="1:14" s="38" customFormat="1" ht="12" customHeight="1">
      <c r="A185" s="271">
        <v>890442</v>
      </c>
      <c r="B185" s="269" t="s">
        <v>465</v>
      </c>
      <c r="C185" s="82" t="s">
        <v>207</v>
      </c>
      <c r="D185" s="69">
        <v>8000</v>
      </c>
      <c r="E185" s="69">
        <f t="shared" si="4"/>
        <v>17830</v>
      </c>
      <c r="F185" s="75">
        <v>13230</v>
      </c>
      <c r="G185" s="75">
        <v>3600</v>
      </c>
      <c r="H185" s="75">
        <v>1000</v>
      </c>
      <c r="I185" s="75"/>
      <c r="J185" s="75"/>
      <c r="K185" s="75"/>
      <c r="L185" s="75"/>
      <c r="M185" s="262"/>
      <c r="N185" s="76"/>
    </row>
    <row r="186" spans="1:14" s="38" customFormat="1" ht="12" customHeight="1">
      <c r="A186" s="271"/>
      <c r="B186" s="269"/>
      <c r="C186" s="83" t="s">
        <v>700</v>
      </c>
      <c r="D186" s="69">
        <v>8000</v>
      </c>
      <c r="E186" s="69">
        <f t="shared" si="4"/>
        <v>17830</v>
      </c>
      <c r="F186" s="75">
        <v>13230</v>
      </c>
      <c r="G186" s="75">
        <v>3600</v>
      </c>
      <c r="H186" s="75">
        <v>1000</v>
      </c>
      <c r="I186" s="75"/>
      <c r="J186" s="75"/>
      <c r="K186" s="75"/>
      <c r="L186" s="75"/>
      <c r="M186" s="262"/>
      <c r="N186" s="76"/>
    </row>
    <row r="187" spans="1:14" s="38" customFormat="1" ht="12" customHeight="1">
      <c r="A187" s="271">
        <v>910501</v>
      </c>
      <c r="B187" s="269" t="s">
        <v>486</v>
      </c>
      <c r="C187" s="82" t="s">
        <v>207</v>
      </c>
      <c r="D187" s="69"/>
      <c r="E187" s="69">
        <f t="shared" si="4"/>
        <v>106600</v>
      </c>
      <c r="F187" s="75"/>
      <c r="G187" s="75"/>
      <c r="H187" s="75">
        <v>4000</v>
      </c>
      <c r="I187" s="75">
        <v>102600</v>
      </c>
      <c r="J187" s="75"/>
      <c r="K187" s="75"/>
      <c r="L187" s="75"/>
      <c r="M187" s="75"/>
      <c r="N187" s="76"/>
    </row>
    <row r="188" spans="1:14" s="38" customFormat="1" ht="12" customHeight="1">
      <c r="A188" s="271"/>
      <c r="B188" s="269"/>
      <c r="C188" s="83" t="s">
        <v>700</v>
      </c>
      <c r="D188" s="69"/>
      <c r="E188" s="69">
        <f t="shared" si="4"/>
        <v>109072</v>
      </c>
      <c r="F188" s="75"/>
      <c r="G188" s="75"/>
      <c r="H188" s="75">
        <v>4000</v>
      </c>
      <c r="I188" s="75">
        <v>105072</v>
      </c>
      <c r="J188" s="75"/>
      <c r="K188" s="75"/>
      <c r="L188" s="75"/>
      <c r="M188" s="75"/>
      <c r="N188" s="76"/>
    </row>
    <row r="189" spans="1:14" s="38" customFormat="1" ht="12" customHeight="1">
      <c r="A189" s="271">
        <v>931202</v>
      </c>
      <c r="B189" s="269" t="s">
        <v>470</v>
      </c>
      <c r="C189" s="82" t="s">
        <v>207</v>
      </c>
      <c r="D189" s="69"/>
      <c r="E189" s="69">
        <f t="shared" si="4"/>
        <v>800</v>
      </c>
      <c r="F189" s="75"/>
      <c r="G189" s="75"/>
      <c r="H189" s="75"/>
      <c r="I189" s="75">
        <v>800</v>
      </c>
      <c r="J189" s="75"/>
      <c r="K189" s="75"/>
      <c r="L189" s="75"/>
      <c r="M189" s="262"/>
      <c r="N189" s="76"/>
    </row>
    <row r="190" spans="1:14" s="38" customFormat="1" ht="12" customHeight="1" thickBot="1">
      <c r="A190" s="278"/>
      <c r="B190" s="279"/>
      <c r="C190" s="235" t="s">
        <v>700</v>
      </c>
      <c r="D190" s="94"/>
      <c r="E190" s="94">
        <f t="shared" si="4"/>
        <v>800</v>
      </c>
      <c r="F190" s="346"/>
      <c r="G190" s="346"/>
      <c r="H190" s="346"/>
      <c r="I190" s="346">
        <v>800</v>
      </c>
      <c r="J190" s="346"/>
      <c r="K190" s="346"/>
      <c r="L190" s="346"/>
      <c r="M190" s="345"/>
      <c r="N190" s="350"/>
    </row>
    <row r="191" spans="1:14" s="38" customFormat="1" ht="12" customHeight="1" thickTop="1">
      <c r="A191" s="569" t="s">
        <v>267</v>
      </c>
      <c r="B191" s="570"/>
      <c r="C191" s="570"/>
      <c r="D191" s="575" t="s">
        <v>172</v>
      </c>
      <c r="E191" s="578" t="s">
        <v>268</v>
      </c>
      <c r="F191" s="68" t="s">
        <v>269</v>
      </c>
      <c r="G191" s="68"/>
      <c r="H191" s="68"/>
      <c r="I191" s="273"/>
      <c r="J191" s="273"/>
      <c r="K191" s="68" t="s">
        <v>205</v>
      </c>
      <c r="L191" s="68"/>
      <c r="M191" s="581" t="s">
        <v>345</v>
      </c>
      <c r="N191" s="587" t="s">
        <v>248</v>
      </c>
    </row>
    <row r="192" spans="1:14" s="38" customFormat="1" ht="12" customHeight="1">
      <c r="A192" s="571"/>
      <c r="B192" s="572"/>
      <c r="C192" s="572"/>
      <c r="D192" s="576"/>
      <c r="E192" s="579"/>
      <c r="F192" s="584" t="s">
        <v>339</v>
      </c>
      <c r="G192" s="584" t="s">
        <v>340</v>
      </c>
      <c r="H192" s="584" t="s">
        <v>341</v>
      </c>
      <c r="I192" s="584" t="s">
        <v>342</v>
      </c>
      <c r="J192" s="584" t="s">
        <v>344</v>
      </c>
      <c r="K192" s="585" t="s">
        <v>263</v>
      </c>
      <c r="L192" s="585" t="s">
        <v>244</v>
      </c>
      <c r="M192" s="582"/>
      <c r="N192" s="588"/>
    </row>
    <row r="193" spans="1:16" s="40" customFormat="1" ht="39" customHeight="1" thickBot="1">
      <c r="A193" s="573"/>
      <c r="B193" s="574"/>
      <c r="C193" s="574"/>
      <c r="D193" s="577"/>
      <c r="E193" s="580"/>
      <c r="F193" s="583"/>
      <c r="G193" s="583"/>
      <c r="H193" s="583"/>
      <c r="I193" s="583"/>
      <c r="J193" s="583"/>
      <c r="K193" s="586"/>
      <c r="L193" s="586"/>
      <c r="M193" s="583"/>
      <c r="N193" s="589"/>
      <c r="O193" s="79"/>
      <c r="P193" s="79"/>
    </row>
    <row r="194" spans="1:14" s="38" customFormat="1" ht="12" customHeight="1" thickTop="1">
      <c r="A194" s="271">
        <v>931903</v>
      </c>
      <c r="B194" s="269" t="s">
        <v>469</v>
      </c>
      <c r="C194" s="82" t="s">
        <v>207</v>
      </c>
      <c r="D194" s="69"/>
      <c r="E194" s="69">
        <f t="shared" si="4"/>
        <v>16800</v>
      </c>
      <c r="F194" s="75"/>
      <c r="G194" s="75"/>
      <c r="H194" s="75">
        <v>2000</v>
      </c>
      <c r="I194" s="75">
        <v>14800</v>
      </c>
      <c r="J194" s="75"/>
      <c r="K194" s="75"/>
      <c r="L194" s="75"/>
      <c r="M194" s="262"/>
      <c r="N194" s="76"/>
    </row>
    <row r="195" spans="1:14" s="38" customFormat="1" ht="12" customHeight="1">
      <c r="A195" s="271"/>
      <c r="B195" s="269"/>
      <c r="C195" s="83" t="s">
        <v>700</v>
      </c>
      <c r="D195" s="69"/>
      <c r="E195" s="69">
        <f t="shared" si="4"/>
        <v>21300</v>
      </c>
      <c r="F195" s="75"/>
      <c r="G195" s="75"/>
      <c r="H195" s="75">
        <v>2000</v>
      </c>
      <c r="I195" s="75">
        <v>19300</v>
      </c>
      <c r="J195" s="75"/>
      <c r="K195" s="75"/>
      <c r="L195" s="75"/>
      <c r="M195" s="262"/>
      <c r="N195" s="76"/>
    </row>
    <row r="196" spans="1:14" s="38" customFormat="1" ht="12" customHeight="1">
      <c r="A196" s="271">
        <v>932911</v>
      </c>
      <c r="B196" s="269" t="s">
        <v>455</v>
      </c>
      <c r="C196" s="82" t="s">
        <v>207</v>
      </c>
      <c r="D196" s="69"/>
      <c r="E196" s="69">
        <f t="shared" si="4"/>
        <v>850</v>
      </c>
      <c r="F196" s="69"/>
      <c r="G196" s="69"/>
      <c r="H196" s="69">
        <v>850</v>
      </c>
      <c r="I196" s="69"/>
      <c r="J196" s="69"/>
      <c r="K196" s="69"/>
      <c r="L196" s="69"/>
      <c r="M196" s="69"/>
      <c r="N196" s="73"/>
    </row>
    <row r="197" spans="1:14" s="38" customFormat="1" ht="12" customHeight="1">
      <c r="A197" s="271"/>
      <c r="B197" s="269"/>
      <c r="C197" s="83" t="s">
        <v>700</v>
      </c>
      <c r="D197" s="69">
        <v>4600</v>
      </c>
      <c r="E197" s="69">
        <f t="shared" si="4"/>
        <v>128437</v>
      </c>
      <c r="F197" s="69"/>
      <c r="G197" s="69"/>
      <c r="H197" s="69">
        <v>850</v>
      </c>
      <c r="I197" s="69"/>
      <c r="J197" s="69"/>
      <c r="K197" s="69"/>
      <c r="L197" s="69">
        <v>100000</v>
      </c>
      <c r="M197" s="69">
        <v>27587</v>
      </c>
      <c r="N197" s="73"/>
    </row>
    <row r="198" spans="1:14" s="38" customFormat="1" ht="12" customHeight="1">
      <c r="A198" s="271">
        <v>949900</v>
      </c>
      <c r="B198" s="269" t="s">
        <v>446</v>
      </c>
      <c r="C198" s="82" t="s">
        <v>207</v>
      </c>
      <c r="D198" s="69">
        <v>17100</v>
      </c>
      <c r="E198" s="69">
        <f t="shared" si="4"/>
        <v>33000</v>
      </c>
      <c r="F198" s="69"/>
      <c r="G198" s="69"/>
      <c r="H198" s="69">
        <v>18000</v>
      </c>
      <c r="I198" s="69">
        <v>15000</v>
      </c>
      <c r="J198" s="69"/>
      <c r="K198" s="69"/>
      <c r="L198" s="69"/>
      <c r="M198" s="69"/>
      <c r="N198" s="73"/>
    </row>
    <row r="199" spans="1:14" s="38" customFormat="1" ht="12" customHeight="1">
      <c r="A199" s="271"/>
      <c r="B199" s="269"/>
      <c r="C199" s="83" t="s">
        <v>700</v>
      </c>
      <c r="D199" s="69">
        <v>17100</v>
      </c>
      <c r="E199" s="69">
        <f t="shared" si="4"/>
        <v>33000</v>
      </c>
      <c r="F199" s="69"/>
      <c r="G199" s="69"/>
      <c r="H199" s="69">
        <v>18000</v>
      </c>
      <c r="I199" s="69">
        <v>15000</v>
      </c>
      <c r="J199" s="69"/>
      <c r="K199" s="69"/>
      <c r="L199" s="69"/>
      <c r="M199" s="69"/>
      <c r="N199" s="73"/>
    </row>
    <row r="200" spans="1:14" s="38" customFormat="1" ht="12" customHeight="1">
      <c r="A200" s="271">
        <v>960302</v>
      </c>
      <c r="B200" s="269" t="s">
        <v>456</v>
      </c>
      <c r="C200" s="82" t="s">
        <v>207</v>
      </c>
      <c r="D200" s="69">
        <v>6400</v>
      </c>
      <c r="E200" s="69">
        <f t="shared" si="4"/>
        <v>12900</v>
      </c>
      <c r="F200" s="69"/>
      <c r="G200" s="69"/>
      <c r="H200" s="69">
        <v>11900</v>
      </c>
      <c r="I200" s="69"/>
      <c r="J200" s="69"/>
      <c r="K200" s="69">
        <v>1000</v>
      </c>
      <c r="L200" s="69"/>
      <c r="M200" s="69"/>
      <c r="N200" s="73"/>
    </row>
    <row r="201" spans="1:14" s="38" customFormat="1" ht="12" customHeight="1">
      <c r="A201" s="271"/>
      <c r="B201" s="269"/>
      <c r="C201" s="83" t="s">
        <v>700</v>
      </c>
      <c r="D201" s="69">
        <v>6400</v>
      </c>
      <c r="E201" s="69">
        <f t="shared" si="4"/>
        <v>12900</v>
      </c>
      <c r="F201" s="69"/>
      <c r="G201" s="69"/>
      <c r="H201" s="69">
        <v>11900</v>
      </c>
      <c r="I201" s="69"/>
      <c r="J201" s="69"/>
      <c r="K201" s="69">
        <v>1000</v>
      </c>
      <c r="L201" s="69"/>
      <c r="M201" s="69"/>
      <c r="N201" s="73"/>
    </row>
    <row r="202" spans="1:14" s="38" customFormat="1" ht="12" customHeight="1">
      <c r="A202" s="271">
        <v>960900</v>
      </c>
      <c r="B202" s="269" t="s">
        <v>468</v>
      </c>
      <c r="C202" s="82" t="s">
        <v>207</v>
      </c>
      <c r="D202" s="69">
        <v>3000</v>
      </c>
      <c r="E202" s="69">
        <f t="shared" si="4"/>
        <v>3000</v>
      </c>
      <c r="F202" s="75">
        <v>1600</v>
      </c>
      <c r="G202" s="75">
        <v>425</v>
      </c>
      <c r="H202" s="75">
        <v>975</v>
      </c>
      <c r="I202" s="75"/>
      <c r="J202" s="75"/>
      <c r="K202" s="75"/>
      <c r="L202" s="75"/>
      <c r="M202" s="262"/>
      <c r="N202" s="76"/>
    </row>
    <row r="203" spans="1:14" s="38" customFormat="1" ht="12" customHeight="1">
      <c r="A203" s="271"/>
      <c r="B203" s="269"/>
      <c r="C203" s="83" t="s">
        <v>700</v>
      </c>
      <c r="D203" s="69">
        <v>3000</v>
      </c>
      <c r="E203" s="69">
        <f>SUM(F203:N203)</f>
        <v>3000</v>
      </c>
      <c r="F203" s="75">
        <v>1600</v>
      </c>
      <c r="G203" s="75">
        <v>425</v>
      </c>
      <c r="H203" s="75">
        <v>975</v>
      </c>
      <c r="I203" s="75"/>
      <c r="J203" s="75"/>
      <c r="K203" s="75"/>
      <c r="L203" s="75"/>
      <c r="M203" s="262"/>
      <c r="N203" s="76"/>
    </row>
    <row r="204" spans="1:14" s="38" customFormat="1" ht="12" customHeight="1">
      <c r="A204" s="593" t="s">
        <v>167</v>
      </c>
      <c r="B204" s="599"/>
      <c r="C204" s="84" t="s">
        <v>207</v>
      </c>
      <c r="D204" s="77">
        <f>SUM(D9+D11+D13+D15+D17+D19+D21+D23+D25+D27+D29+D31+D33+D35+D37+D39+D41+D43+D45+D47+D49+D51+D53+D55+D57+D59+D61+D63+D68+D70+D72+D74+D76+D78+D80+D82+D84+D86+D88+D90+D92+D94+D96+D98+D100+D102+D104+D106+D108+D110+D112+D114+D116+D118+D120+D122+D124+D126+D131+D133+D135+D137+D139+D141+D143+D145+D147+D149+D151+D153+D155+D157+D159+D161+D163+D165+D167+D169+D171+D173+D175+D177+D179+D181+D183+D185+D187+D189+D194+D196+D198+D200+D202)</f>
        <v>8408764</v>
      </c>
      <c r="E204" s="77">
        <f aca="true" t="shared" si="5" ref="E204:N204">SUM(E9+E11+E13+E15+E17+E19+E21+E23+E25+E27+E29+E31+E33+E35+E37+E39+E41+E43+E45+E47+E49+E51+E53+E55+E57+E59+E61+E63+E68+E70+E72+E74+E76+E78+E80+E82+E84+E86+E88+E90+E92+E94+E96+E98+E100+E102+E104+E106+E108+E110+E112+E114+E116+E118+E120+E122+E124+E126+E131+E133+E135+E137+E139+E141+E143+E145+E147+E149+E151+E153+E155+E157+E159+E161+E163+E165+E167+E169+E171+E173+E175+E177+E179+E181+E183+E185+E187+E189+E194+E196+E198+E200+E202)</f>
        <v>6996028</v>
      </c>
      <c r="F204" s="77">
        <f t="shared" si="5"/>
        <v>488473</v>
      </c>
      <c r="G204" s="77">
        <f t="shared" si="5"/>
        <v>134643</v>
      </c>
      <c r="H204" s="77">
        <f t="shared" si="5"/>
        <v>809639</v>
      </c>
      <c r="I204" s="77">
        <f t="shared" si="5"/>
        <v>629037</v>
      </c>
      <c r="J204" s="77">
        <f t="shared" si="5"/>
        <v>223696</v>
      </c>
      <c r="K204" s="77">
        <f t="shared" si="5"/>
        <v>195168</v>
      </c>
      <c r="L204" s="77">
        <f t="shared" si="5"/>
        <v>4310906</v>
      </c>
      <c r="M204" s="77">
        <f t="shared" si="5"/>
        <v>22073</v>
      </c>
      <c r="N204" s="78">
        <f t="shared" si="5"/>
        <v>182393</v>
      </c>
    </row>
    <row r="205" spans="1:14" s="38" customFormat="1" ht="12" customHeight="1">
      <c r="A205" s="85"/>
      <c r="B205" s="403"/>
      <c r="C205" s="351" t="s">
        <v>700</v>
      </c>
      <c r="D205" s="77">
        <f>SUM(D10+D12+D14+D16+D18+D20+D22+D24+D26+D28+D30+D32+D34+D36+D38+D40+D42+D44+D46+D48+D50+D52+D54+D56+D58+D60+D62+D64+D69+D71+D73+D75+D77+D79+D81+D83+D85+D87+D89+D91+D93+D95+D97+D99+D101+D103+D105+D107+D109+D111+D113+D115+D117+D119+D121+D123+D125+D127+D132+D134+D136+D138+D140+D142+D144+D146+D148+D150+D152+D154+D156+D158+D160+D162+D164+D166+D168+D170+D172+D174+D176+D178+D180+D182+D184+D186+D188+D190+D195+D197+D199+D201+D203)</f>
        <v>8902519</v>
      </c>
      <c r="E205" s="77">
        <f aca="true" t="shared" si="6" ref="E205:N205">SUM(E10+E12+E14+E16+E18+E20+E22+E24+E26+E28+E30+E32+E34+E36+E38+E40+E42+E44+E46+E48+E50+E52+E54+E56+E58+E60+E62+E64+E69+E71+E73+E75+E77+E79+E81+E83+E85+E87+E89+E91+E93+E95+E97+E99+E101+E103+E105+E107+E109+E111+E113+E115+E117+E119+E121+E123+E125+E127+E132+E134+E136+E138+E140+E142+E144+E146+E148+E150+E152+E154+E156+E158+E160+E162+E164+E166+E168+E170+E172+E174+E176+E178+E180+E182+E184+E186+E188+E190+E195+E197+E199+E201+E203)</f>
        <v>7420602</v>
      </c>
      <c r="F205" s="77">
        <f t="shared" si="6"/>
        <v>501022</v>
      </c>
      <c r="G205" s="77">
        <f t="shared" si="6"/>
        <v>137996</v>
      </c>
      <c r="H205" s="77">
        <f t="shared" si="6"/>
        <v>957497</v>
      </c>
      <c r="I205" s="77">
        <f t="shared" si="6"/>
        <v>662033</v>
      </c>
      <c r="J205" s="77">
        <f t="shared" si="6"/>
        <v>224477</v>
      </c>
      <c r="K205" s="77">
        <f t="shared" si="6"/>
        <v>192653</v>
      </c>
      <c r="L205" s="77">
        <f t="shared" si="6"/>
        <v>4516852</v>
      </c>
      <c r="M205" s="77">
        <f t="shared" si="6"/>
        <v>71826</v>
      </c>
      <c r="N205" s="78">
        <f t="shared" si="6"/>
        <v>156246</v>
      </c>
    </row>
    <row r="206" spans="1:14" s="40" customFormat="1" ht="12" customHeight="1">
      <c r="A206" s="600" t="s">
        <v>510</v>
      </c>
      <c r="B206" s="601"/>
      <c r="C206" s="351" t="s">
        <v>207</v>
      </c>
      <c r="D206" s="426">
        <v>3000</v>
      </c>
      <c r="E206" s="426">
        <f>SUM(F206:N206)</f>
        <v>22478</v>
      </c>
      <c r="F206" s="427">
        <v>11282</v>
      </c>
      <c r="G206" s="427">
        <v>2691</v>
      </c>
      <c r="H206" s="427">
        <v>7430</v>
      </c>
      <c r="I206" s="427">
        <v>700</v>
      </c>
      <c r="J206" s="427"/>
      <c r="K206" s="427"/>
      <c r="L206" s="427">
        <v>375</v>
      </c>
      <c r="M206" s="427"/>
      <c r="N206" s="428"/>
    </row>
    <row r="207" spans="1:14" s="40" customFormat="1" ht="12" customHeight="1">
      <c r="A207" s="85"/>
      <c r="B207" s="311"/>
      <c r="C207" s="351" t="s">
        <v>700</v>
      </c>
      <c r="D207" s="77">
        <v>3000</v>
      </c>
      <c r="E207" s="77">
        <f>SUM(F207:N207)</f>
        <v>23002</v>
      </c>
      <c r="F207" s="265">
        <v>11695</v>
      </c>
      <c r="G207" s="265">
        <v>2802</v>
      </c>
      <c r="H207" s="265">
        <v>7430</v>
      </c>
      <c r="I207" s="265">
        <v>700</v>
      </c>
      <c r="J207" s="265"/>
      <c r="K207" s="265"/>
      <c r="L207" s="265">
        <v>375</v>
      </c>
      <c r="M207" s="265"/>
      <c r="N207" s="266"/>
    </row>
    <row r="208" spans="1:14" s="40" customFormat="1" ht="12" customHeight="1">
      <c r="A208" s="85"/>
      <c r="B208" s="276"/>
      <c r="C208" s="84"/>
      <c r="D208" s="77"/>
      <c r="E208" s="77"/>
      <c r="F208" s="265"/>
      <c r="G208" s="265"/>
      <c r="H208" s="265"/>
      <c r="I208" s="267"/>
      <c r="J208" s="267"/>
      <c r="K208" s="267"/>
      <c r="L208" s="267"/>
      <c r="M208" s="265"/>
      <c r="N208" s="266"/>
    </row>
    <row r="209" spans="1:14" s="40" customFormat="1" ht="12" customHeight="1">
      <c r="A209" s="597" t="s">
        <v>271</v>
      </c>
      <c r="B209" s="598"/>
      <c r="C209" s="82"/>
      <c r="D209" s="77"/>
      <c r="E209" s="69"/>
      <c r="F209" s="75"/>
      <c r="G209" s="75"/>
      <c r="H209" s="75"/>
      <c r="I209" s="75"/>
      <c r="J209" s="75"/>
      <c r="K209" s="75"/>
      <c r="L209" s="75"/>
      <c r="M209" s="75"/>
      <c r="N209" s="76"/>
    </row>
    <row r="210" spans="1:14" s="40" customFormat="1" ht="12" customHeight="1">
      <c r="A210" s="74" t="s">
        <v>511</v>
      </c>
      <c r="B210" s="269" t="s">
        <v>168</v>
      </c>
      <c r="C210" s="82" t="s">
        <v>207</v>
      </c>
      <c r="D210" s="69">
        <v>566</v>
      </c>
      <c r="E210" s="69">
        <f aca="true" t="shared" si="7" ref="E210:E215">SUM(F210:N210)</f>
        <v>566</v>
      </c>
      <c r="F210" s="75"/>
      <c r="G210" s="75"/>
      <c r="H210" s="75">
        <v>566</v>
      </c>
      <c r="I210" s="75"/>
      <c r="J210" s="75"/>
      <c r="K210" s="75"/>
      <c r="L210" s="75"/>
      <c r="M210" s="75"/>
      <c r="N210" s="76"/>
    </row>
    <row r="211" spans="1:14" s="40" customFormat="1" ht="12" customHeight="1">
      <c r="A211" s="74"/>
      <c r="B211" s="269"/>
      <c r="C211" s="83" t="s">
        <v>700</v>
      </c>
      <c r="D211" s="69">
        <v>1183</v>
      </c>
      <c r="E211" s="69">
        <f t="shared" si="7"/>
        <v>1183</v>
      </c>
      <c r="F211" s="75"/>
      <c r="G211" s="75"/>
      <c r="H211" s="75">
        <v>1183</v>
      </c>
      <c r="I211" s="75"/>
      <c r="J211" s="75"/>
      <c r="K211" s="75"/>
      <c r="L211" s="75"/>
      <c r="M211" s="75"/>
      <c r="N211" s="76"/>
    </row>
    <row r="212" spans="1:14" s="38" customFormat="1" ht="12" customHeight="1">
      <c r="A212" s="74" t="s">
        <v>511</v>
      </c>
      <c r="B212" s="269" t="s">
        <v>169</v>
      </c>
      <c r="C212" s="82" t="s">
        <v>207</v>
      </c>
      <c r="D212" s="69">
        <v>566</v>
      </c>
      <c r="E212" s="69">
        <f t="shared" si="7"/>
        <v>566</v>
      </c>
      <c r="F212" s="75"/>
      <c r="G212" s="75"/>
      <c r="H212" s="75">
        <v>566</v>
      </c>
      <c r="I212" s="75"/>
      <c r="J212" s="75"/>
      <c r="K212" s="75"/>
      <c r="L212" s="75"/>
      <c r="M212" s="75"/>
      <c r="N212" s="76"/>
    </row>
    <row r="213" spans="1:14" s="38" customFormat="1" ht="12" customHeight="1">
      <c r="A213" s="74"/>
      <c r="B213" s="269"/>
      <c r="C213" s="83" t="s">
        <v>700</v>
      </c>
      <c r="D213" s="69">
        <v>960</v>
      </c>
      <c r="E213" s="69">
        <f t="shared" si="7"/>
        <v>960</v>
      </c>
      <c r="F213" s="75"/>
      <c r="G213" s="75"/>
      <c r="H213" s="75">
        <v>930</v>
      </c>
      <c r="I213" s="75">
        <v>30</v>
      </c>
      <c r="J213" s="75"/>
      <c r="K213" s="75"/>
      <c r="L213" s="75"/>
      <c r="M213" s="75"/>
      <c r="N213" s="76"/>
    </row>
    <row r="214" spans="1:14" s="38" customFormat="1" ht="12" customHeight="1">
      <c r="A214" s="74" t="s">
        <v>511</v>
      </c>
      <c r="B214" s="269" t="s">
        <v>170</v>
      </c>
      <c r="C214" s="82" t="s">
        <v>207</v>
      </c>
      <c r="D214" s="69">
        <v>566</v>
      </c>
      <c r="E214" s="69">
        <f t="shared" si="7"/>
        <v>566</v>
      </c>
      <c r="F214" s="75"/>
      <c r="G214" s="75"/>
      <c r="H214" s="75">
        <v>566</v>
      </c>
      <c r="I214" s="75"/>
      <c r="J214" s="75"/>
      <c r="K214" s="75"/>
      <c r="L214" s="75"/>
      <c r="M214" s="75"/>
      <c r="N214" s="76"/>
    </row>
    <row r="215" spans="1:14" s="38" customFormat="1" ht="12" customHeight="1">
      <c r="A215" s="74"/>
      <c r="B215" s="269"/>
      <c r="C215" s="83" t="s">
        <v>700</v>
      </c>
      <c r="D215" s="69">
        <v>772</v>
      </c>
      <c r="E215" s="69">
        <f t="shared" si="7"/>
        <v>772</v>
      </c>
      <c r="F215" s="75"/>
      <c r="G215" s="75"/>
      <c r="H215" s="75">
        <v>772</v>
      </c>
      <c r="I215" s="75"/>
      <c r="J215" s="75"/>
      <c r="K215" s="75"/>
      <c r="L215" s="75"/>
      <c r="M215" s="75"/>
      <c r="N215" s="76"/>
    </row>
    <row r="216" spans="1:14" s="38" customFormat="1" ht="12" customHeight="1">
      <c r="A216" s="593" t="s">
        <v>171</v>
      </c>
      <c r="B216" s="594"/>
      <c r="C216" s="84" t="s">
        <v>207</v>
      </c>
      <c r="D216" s="77">
        <f aca="true" t="shared" si="8" ref="D216:N216">SUM(D210+D212+D214)</f>
        <v>1698</v>
      </c>
      <c r="E216" s="77">
        <f t="shared" si="8"/>
        <v>1698</v>
      </c>
      <c r="F216" s="265">
        <f t="shared" si="8"/>
        <v>0</v>
      </c>
      <c r="G216" s="265">
        <f t="shared" si="8"/>
        <v>0</v>
      </c>
      <c r="H216" s="265">
        <f t="shared" si="8"/>
        <v>1698</v>
      </c>
      <c r="I216" s="265">
        <f t="shared" si="8"/>
        <v>0</v>
      </c>
      <c r="J216" s="265">
        <f t="shared" si="8"/>
        <v>0</v>
      </c>
      <c r="K216" s="265">
        <f t="shared" si="8"/>
        <v>0</v>
      </c>
      <c r="L216" s="265">
        <f t="shared" si="8"/>
        <v>0</v>
      </c>
      <c r="M216" s="265">
        <f t="shared" si="8"/>
        <v>0</v>
      </c>
      <c r="N216" s="266">
        <f t="shared" si="8"/>
        <v>0</v>
      </c>
    </row>
    <row r="217" spans="1:14" ht="12" customHeight="1">
      <c r="A217" s="85"/>
      <c r="B217" s="277"/>
      <c r="C217" s="351" t="s">
        <v>700</v>
      </c>
      <c r="D217" s="77">
        <f>SUM(D211+D213+D215)</f>
        <v>2915</v>
      </c>
      <c r="E217" s="77">
        <f aca="true" t="shared" si="9" ref="E217:N217">SUM(E211+E213+E215)</f>
        <v>2915</v>
      </c>
      <c r="F217" s="77">
        <f t="shared" si="9"/>
        <v>0</v>
      </c>
      <c r="G217" s="77">
        <f t="shared" si="9"/>
        <v>0</v>
      </c>
      <c r="H217" s="77">
        <f t="shared" si="9"/>
        <v>2885</v>
      </c>
      <c r="I217" s="77">
        <f t="shared" si="9"/>
        <v>30</v>
      </c>
      <c r="J217" s="77">
        <f t="shared" si="9"/>
        <v>0</v>
      </c>
      <c r="K217" s="77">
        <f t="shared" si="9"/>
        <v>0</v>
      </c>
      <c r="L217" s="77">
        <f t="shared" si="9"/>
        <v>0</v>
      </c>
      <c r="M217" s="77">
        <f t="shared" si="9"/>
        <v>0</v>
      </c>
      <c r="N217" s="78">
        <f t="shared" si="9"/>
        <v>0</v>
      </c>
    </row>
    <row r="218" spans="1:14" ht="12" customHeight="1">
      <c r="A218" s="338"/>
      <c r="B218" s="339"/>
      <c r="C218" s="340"/>
      <c r="D218" s="347"/>
      <c r="E218" s="347"/>
      <c r="F218" s="348"/>
      <c r="G218" s="348"/>
      <c r="H218" s="348"/>
      <c r="I218" s="348"/>
      <c r="J218" s="348"/>
      <c r="K218" s="348"/>
      <c r="L218" s="348"/>
      <c r="M218" s="348"/>
      <c r="N218" s="349"/>
    </row>
    <row r="219" spans="1:14" ht="12" customHeight="1">
      <c r="A219" s="595" t="s">
        <v>217</v>
      </c>
      <c r="B219" s="596"/>
      <c r="C219" s="340" t="s">
        <v>206</v>
      </c>
      <c r="D219" s="341">
        <f aca="true" t="shared" si="10" ref="D219:N219">SUM(D204+D206+D216)</f>
        <v>8413462</v>
      </c>
      <c r="E219" s="341">
        <f t="shared" si="10"/>
        <v>7020204</v>
      </c>
      <c r="F219" s="341">
        <f t="shared" si="10"/>
        <v>499755</v>
      </c>
      <c r="G219" s="341">
        <f t="shared" si="10"/>
        <v>137334</v>
      </c>
      <c r="H219" s="341">
        <f t="shared" si="10"/>
        <v>818767</v>
      </c>
      <c r="I219" s="341">
        <f t="shared" si="10"/>
        <v>629737</v>
      </c>
      <c r="J219" s="341">
        <f t="shared" si="10"/>
        <v>223696</v>
      </c>
      <c r="K219" s="341">
        <f t="shared" si="10"/>
        <v>195168</v>
      </c>
      <c r="L219" s="341">
        <f t="shared" si="10"/>
        <v>4311281</v>
      </c>
      <c r="M219" s="341">
        <f t="shared" si="10"/>
        <v>22073</v>
      </c>
      <c r="N219" s="342">
        <f t="shared" si="10"/>
        <v>182393</v>
      </c>
    </row>
    <row r="220" spans="1:14" ht="13.5" thickBot="1">
      <c r="A220" s="343"/>
      <c r="B220" s="344"/>
      <c r="C220" s="234" t="s">
        <v>700</v>
      </c>
      <c r="D220" s="424">
        <f aca="true" t="shared" si="11" ref="D220:N220">SUM(D205+D207+D217)</f>
        <v>8908434</v>
      </c>
      <c r="E220" s="424">
        <f t="shared" si="11"/>
        <v>7446519</v>
      </c>
      <c r="F220" s="424">
        <f t="shared" si="11"/>
        <v>512717</v>
      </c>
      <c r="G220" s="424">
        <f t="shared" si="11"/>
        <v>140798</v>
      </c>
      <c r="H220" s="424">
        <f t="shared" si="11"/>
        <v>967812</v>
      </c>
      <c r="I220" s="424">
        <f t="shared" si="11"/>
        <v>662763</v>
      </c>
      <c r="J220" s="424">
        <f t="shared" si="11"/>
        <v>224477</v>
      </c>
      <c r="K220" s="424">
        <f t="shared" si="11"/>
        <v>192653</v>
      </c>
      <c r="L220" s="424">
        <f t="shared" si="11"/>
        <v>4517227</v>
      </c>
      <c r="M220" s="424">
        <f t="shared" si="11"/>
        <v>71826</v>
      </c>
      <c r="N220" s="425">
        <f t="shared" si="11"/>
        <v>156246</v>
      </c>
    </row>
    <row r="221" spans="6:14" ht="13.5" thickTop="1">
      <c r="F221" s="35"/>
      <c r="G221" s="35"/>
      <c r="H221" s="35"/>
      <c r="I221" s="35"/>
      <c r="J221" s="35"/>
      <c r="K221" s="35"/>
      <c r="L221" s="35"/>
      <c r="M221" s="268"/>
      <c r="N221" s="35"/>
    </row>
    <row r="222" spans="6:14" ht="12.75">
      <c r="F222" s="35"/>
      <c r="G222" s="35"/>
      <c r="H222" s="35"/>
      <c r="I222" s="35"/>
      <c r="J222" s="35"/>
      <c r="K222" s="35"/>
      <c r="L222" s="35"/>
      <c r="M222" s="268"/>
      <c r="N222" s="35"/>
    </row>
    <row r="223" spans="6:14" ht="12.75">
      <c r="F223" s="35"/>
      <c r="G223" s="35"/>
      <c r="H223" s="35"/>
      <c r="I223" s="35"/>
      <c r="J223" s="35"/>
      <c r="K223" s="35"/>
      <c r="L223" s="35"/>
      <c r="M223" s="268"/>
      <c r="N223" s="35"/>
    </row>
    <row r="224" spans="6:14" ht="12.75">
      <c r="F224" s="35"/>
      <c r="G224" s="35"/>
      <c r="H224" s="35"/>
      <c r="I224" s="35"/>
      <c r="J224" s="35"/>
      <c r="K224" s="35"/>
      <c r="L224" s="35"/>
      <c r="M224" s="268"/>
      <c r="N224" s="35"/>
    </row>
    <row r="225" spans="6:14" ht="12.75">
      <c r="F225" s="35"/>
      <c r="G225" s="35"/>
      <c r="H225" s="35"/>
      <c r="I225" s="35"/>
      <c r="J225" s="35"/>
      <c r="K225" s="35"/>
      <c r="L225" s="35"/>
      <c r="M225" s="268"/>
      <c r="N225" s="35"/>
    </row>
    <row r="226" spans="6:14" ht="12.75">
      <c r="F226" s="35"/>
      <c r="G226" s="35"/>
      <c r="H226" s="35"/>
      <c r="I226" s="35"/>
      <c r="J226" s="35"/>
      <c r="K226" s="35"/>
      <c r="L226" s="35"/>
      <c r="M226" s="268"/>
      <c r="N226" s="35"/>
    </row>
    <row r="227" spans="6:14" ht="12.75">
      <c r="F227" s="35"/>
      <c r="G227" s="35"/>
      <c r="H227" s="35"/>
      <c r="I227" s="35"/>
      <c r="J227" s="35"/>
      <c r="K227" s="35"/>
      <c r="L227" s="35"/>
      <c r="M227" s="268"/>
      <c r="N227" s="35"/>
    </row>
    <row r="228" spans="6:14" ht="12.75">
      <c r="F228" s="35"/>
      <c r="G228" s="35"/>
      <c r="H228" s="35"/>
      <c r="I228" s="35"/>
      <c r="J228" s="35"/>
      <c r="K228" s="35"/>
      <c r="L228" s="35"/>
      <c r="M228" s="268"/>
      <c r="N228" s="35"/>
    </row>
    <row r="229" spans="6:14" ht="12.75">
      <c r="F229" s="35"/>
      <c r="G229" s="35"/>
      <c r="H229" s="35"/>
      <c r="I229" s="35"/>
      <c r="J229" s="35"/>
      <c r="K229" s="35"/>
      <c r="L229" s="35"/>
      <c r="M229" s="268"/>
      <c r="N229" s="35"/>
    </row>
    <row r="230" spans="6:14" ht="12.75">
      <c r="F230" s="35"/>
      <c r="G230" s="35"/>
      <c r="H230" s="35"/>
      <c r="I230" s="35"/>
      <c r="J230" s="35"/>
      <c r="K230" s="35"/>
      <c r="L230" s="35"/>
      <c r="M230" s="268"/>
      <c r="N230" s="35"/>
    </row>
    <row r="231" spans="6:14" ht="12.75">
      <c r="F231" s="35"/>
      <c r="G231" s="35"/>
      <c r="H231" s="35"/>
      <c r="I231" s="35"/>
      <c r="J231" s="35"/>
      <c r="K231" s="35"/>
      <c r="L231" s="35"/>
      <c r="M231" s="268"/>
      <c r="N231" s="35"/>
    </row>
    <row r="232" spans="6:14" ht="12.75">
      <c r="F232" s="35"/>
      <c r="G232" s="35"/>
      <c r="H232" s="35"/>
      <c r="I232" s="35"/>
      <c r="J232" s="35"/>
      <c r="K232" s="35"/>
      <c r="L232" s="35"/>
      <c r="M232" s="268"/>
      <c r="N232" s="35"/>
    </row>
    <row r="233" spans="6:14" ht="12.75">
      <c r="F233" s="35"/>
      <c r="G233" s="35"/>
      <c r="H233" s="35"/>
      <c r="I233" s="35"/>
      <c r="J233" s="35"/>
      <c r="K233" s="35"/>
      <c r="L233" s="35"/>
      <c r="M233" s="268"/>
      <c r="N233" s="35"/>
    </row>
    <row r="234" spans="6:14" ht="12.75">
      <c r="F234" s="35"/>
      <c r="G234" s="35"/>
      <c r="H234" s="35"/>
      <c r="I234" s="35"/>
      <c r="J234" s="35"/>
      <c r="K234" s="35"/>
      <c r="L234" s="35"/>
      <c r="M234" s="268"/>
      <c r="N234" s="35"/>
    </row>
    <row r="235" spans="6:14" ht="12.75">
      <c r="F235" s="35"/>
      <c r="G235" s="35"/>
      <c r="H235" s="35"/>
      <c r="I235" s="35"/>
      <c r="J235" s="35"/>
      <c r="K235" s="35"/>
      <c r="L235" s="35"/>
      <c r="M235" s="268"/>
      <c r="N235" s="35"/>
    </row>
    <row r="236" spans="6:14" ht="12.75">
      <c r="F236" s="35"/>
      <c r="G236" s="35"/>
      <c r="H236" s="35"/>
      <c r="I236" s="35"/>
      <c r="J236" s="35"/>
      <c r="K236" s="35"/>
      <c r="L236" s="35"/>
      <c r="M236" s="268"/>
      <c r="N236" s="35"/>
    </row>
    <row r="237" spans="6:14" ht="12.75">
      <c r="F237" s="35"/>
      <c r="G237" s="35"/>
      <c r="H237" s="35"/>
      <c r="I237" s="35"/>
      <c r="J237" s="35"/>
      <c r="K237" s="35"/>
      <c r="L237" s="35"/>
      <c r="M237" s="268"/>
      <c r="N237" s="35"/>
    </row>
    <row r="238" spans="6:14" ht="12.75">
      <c r="F238" s="35"/>
      <c r="G238" s="35"/>
      <c r="H238" s="35"/>
      <c r="I238" s="35"/>
      <c r="J238" s="35"/>
      <c r="K238" s="35"/>
      <c r="L238" s="35"/>
      <c r="M238" s="268"/>
      <c r="N238" s="35"/>
    </row>
    <row r="239" spans="6:14" ht="12.75">
      <c r="F239" s="35"/>
      <c r="G239" s="35"/>
      <c r="H239" s="35"/>
      <c r="I239" s="35"/>
      <c r="J239" s="35"/>
      <c r="K239" s="35"/>
      <c r="L239" s="35"/>
      <c r="M239" s="268"/>
      <c r="N239" s="35"/>
    </row>
    <row r="240" spans="6:14" ht="12.75">
      <c r="F240" s="35"/>
      <c r="G240" s="35"/>
      <c r="H240" s="35"/>
      <c r="I240" s="35"/>
      <c r="J240" s="35"/>
      <c r="K240" s="35"/>
      <c r="L240" s="35"/>
      <c r="M240" s="268"/>
      <c r="N240" s="35"/>
    </row>
    <row r="241" spans="6:14" ht="12.75">
      <c r="F241" s="35"/>
      <c r="G241" s="35"/>
      <c r="H241" s="35"/>
      <c r="I241" s="35"/>
      <c r="J241" s="35"/>
      <c r="K241" s="35"/>
      <c r="L241" s="35"/>
      <c r="M241" s="268"/>
      <c r="N241" s="35"/>
    </row>
    <row r="242" spans="6:14" ht="12.75">
      <c r="F242" s="35"/>
      <c r="G242" s="35"/>
      <c r="H242" s="35"/>
      <c r="I242" s="35"/>
      <c r="J242" s="35"/>
      <c r="K242" s="35"/>
      <c r="L242" s="35"/>
      <c r="M242" s="268"/>
      <c r="N242" s="35"/>
    </row>
    <row r="243" spans="6:14" ht="12.75">
      <c r="F243" s="35"/>
      <c r="G243" s="35"/>
      <c r="H243" s="35"/>
      <c r="I243" s="35"/>
      <c r="J243" s="35"/>
      <c r="K243" s="35"/>
      <c r="L243" s="35"/>
      <c r="M243" s="268"/>
      <c r="N243" s="35"/>
    </row>
    <row r="244" spans="6:14" ht="12.75">
      <c r="F244" s="35"/>
      <c r="G244" s="35"/>
      <c r="H244" s="35"/>
      <c r="I244" s="35"/>
      <c r="J244" s="35"/>
      <c r="K244" s="35"/>
      <c r="L244" s="35"/>
      <c r="M244" s="268"/>
      <c r="N244" s="35"/>
    </row>
    <row r="245" spans="6:14" ht="12.75">
      <c r="F245" s="35"/>
      <c r="G245" s="35"/>
      <c r="H245" s="35"/>
      <c r="I245" s="35"/>
      <c r="J245" s="35"/>
      <c r="K245" s="35"/>
      <c r="L245" s="35"/>
      <c r="M245" s="268"/>
      <c r="N245" s="35"/>
    </row>
    <row r="246" spans="6:14" ht="12.75">
      <c r="F246" s="35"/>
      <c r="G246" s="35"/>
      <c r="H246" s="35"/>
      <c r="I246" s="35"/>
      <c r="J246" s="35"/>
      <c r="K246" s="35"/>
      <c r="L246" s="35"/>
      <c r="M246" s="268"/>
      <c r="N246" s="35"/>
    </row>
    <row r="247" spans="6:14" ht="12.75">
      <c r="F247" s="35"/>
      <c r="G247" s="35"/>
      <c r="H247" s="35"/>
      <c r="I247" s="35"/>
      <c r="J247" s="35"/>
      <c r="K247" s="35"/>
      <c r="L247" s="35"/>
      <c r="M247" s="268"/>
      <c r="N247" s="35"/>
    </row>
    <row r="248" spans="6:14" ht="12.75">
      <c r="F248" s="35"/>
      <c r="G248" s="35"/>
      <c r="H248" s="35"/>
      <c r="I248" s="35"/>
      <c r="J248" s="35"/>
      <c r="K248" s="35"/>
      <c r="L248" s="35"/>
      <c r="M248" s="268"/>
      <c r="N248" s="35"/>
    </row>
    <row r="249" spans="6:14" ht="12.75">
      <c r="F249" s="35"/>
      <c r="G249" s="35"/>
      <c r="H249" s="35"/>
      <c r="I249" s="35"/>
      <c r="J249" s="35"/>
      <c r="K249" s="35"/>
      <c r="L249" s="35"/>
      <c r="M249" s="268"/>
      <c r="N249" s="35"/>
    </row>
    <row r="250" spans="6:14" ht="12.75">
      <c r="F250" s="35"/>
      <c r="G250" s="35"/>
      <c r="H250" s="35"/>
      <c r="I250" s="35"/>
      <c r="J250" s="35"/>
      <c r="K250" s="35"/>
      <c r="L250" s="35"/>
      <c r="M250" s="268"/>
      <c r="N250" s="35"/>
    </row>
    <row r="251" spans="6:14" ht="12.75">
      <c r="F251" s="35"/>
      <c r="G251" s="35"/>
      <c r="H251" s="35"/>
      <c r="I251" s="35"/>
      <c r="J251" s="35"/>
      <c r="K251" s="35"/>
      <c r="L251" s="35"/>
      <c r="M251" s="268"/>
      <c r="N251" s="35"/>
    </row>
    <row r="252" spans="6:14" ht="12.75">
      <c r="F252" s="35"/>
      <c r="G252" s="35"/>
      <c r="H252" s="35"/>
      <c r="I252" s="35"/>
      <c r="J252" s="35"/>
      <c r="K252" s="35"/>
      <c r="L252" s="35"/>
      <c r="M252" s="268"/>
      <c r="N252" s="35"/>
    </row>
    <row r="253" spans="6:14" ht="12.75">
      <c r="F253" s="35"/>
      <c r="G253" s="35"/>
      <c r="H253" s="35"/>
      <c r="I253" s="35"/>
      <c r="J253" s="35"/>
      <c r="K253" s="35"/>
      <c r="L253" s="35"/>
      <c r="M253" s="268"/>
      <c r="N253" s="35"/>
    </row>
    <row r="254" spans="6:14" ht="12.75">
      <c r="F254" s="35"/>
      <c r="G254" s="35"/>
      <c r="H254" s="35"/>
      <c r="I254" s="35"/>
      <c r="J254" s="35"/>
      <c r="K254" s="35"/>
      <c r="L254" s="35"/>
      <c r="M254" s="268"/>
      <c r="N254" s="35"/>
    </row>
    <row r="255" spans="6:14" ht="12.75">
      <c r="F255" s="35"/>
      <c r="G255" s="35"/>
      <c r="H255" s="35"/>
      <c r="I255" s="35"/>
      <c r="J255" s="35"/>
      <c r="K255" s="35"/>
      <c r="L255" s="35"/>
      <c r="M255" s="268"/>
      <c r="N255" s="35"/>
    </row>
    <row r="256" spans="6:14" ht="12.75">
      <c r="F256" s="35"/>
      <c r="G256" s="35"/>
      <c r="H256" s="35"/>
      <c r="I256" s="35"/>
      <c r="J256" s="35"/>
      <c r="K256" s="35"/>
      <c r="L256" s="35"/>
      <c r="M256" s="268"/>
      <c r="N256" s="35"/>
    </row>
    <row r="257" spans="6:14" ht="12.75">
      <c r="F257" s="35"/>
      <c r="G257" s="35"/>
      <c r="H257" s="35"/>
      <c r="I257" s="35"/>
      <c r="J257" s="35"/>
      <c r="K257" s="35"/>
      <c r="L257" s="35"/>
      <c r="M257" s="268"/>
      <c r="N257" s="35"/>
    </row>
    <row r="258" spans="6:14" ht="12.75">
      <c r="F258" s="35"/>
      <c r="G258" s="35"/>
      <c r="H258" s="35"/>
      <c r="I258" s="35"/>
      <c r="J258" s="35"/>
      <c r="K258" s="35"/>
      <c r="L258" s="35"/>
      <c r="M258" s="268"/>
      <c r="N258" s="35"/>
    </row>
    <row r="259" spans="6:14" ht="12.75">
      <c r="F259" s="35"/>
      <c r="G259" s="35"/>
      <c r="H259" s="35"/>
      <c r="I259" s="35"/>
      <c r="J259" s="35"/>
      <c r="K259" s="35"/>
      <c r="L259" s="35"/>
      <c r="M259" s="268"/>
      <c r="N259" s="35"/>
    </row>
    <row r="260" spans="6:14" ht="12.75">
      <c r="F260" s="35"/>
      <c r="G260" s="35"/>
      <c r="H260" s="35"/>
      <c r="I260" s="35"/>
      <c r="J260" s="35"/>
      <c r="K260" s="35"/>
      <c r="L260" s="35"/>
      <c r="M260" s="268"/>
      <c r="N260" s="35"/>
    </row>
    <row r="261" spans="6:14" ht="12.75">
      <c r="F261" s="35"/>
      <c r="G261" s="35"/>
      <c r="H261" s="35"/>
      <c r="I261" s="35"/>
      <c r="J261" s="35"/>
      <c r="K261" s="35"/>
      <c r="L261" s="35"/>
      <c r="M261" s="268"/>
      <c r="N261" s="35"/>
    </row>
    <row r="262" spans="6:14" ht="12.75">
      <c r="F262" s="35"/>
      <c r="G262" s="35"/>
      <c r="H262" s="35"/>
      <c r="I262" s="35"/>
      <c r="J262" s="35"/>
      <c r="K262" s="35"/>
      <c r="L262" s="35"/>
      <c r="M262" s="268"/>
      <c r="N262" s="35"/>
    </row>
    <row r="263" spans="6:14" ht="12.75">
      <c r="F263" s="35"/>
      <c r="G263" s="35"/>
      <c r="H263" s="35"/>
      <c r="I263" s="35"/>
      <c r="J263" s="35"/>
      <c r="K263" s="35"/>
      <c r="L263" s="35"/>
      <c r="M263" s="268"/>
      <c r="N263" s="35"/>
    </row>
    <row r="264" spans="6:14" ht="12.75">
      <c r="F264" s="35"/>
      <c r="G264" s="35"/>
      <c r="H264" s="35"/>
      <c r="I264" s="35"/>
      <c r="J264" s="35"/>
      <c r="K264" s="35"/>
      <c r="L264" s="35"/>
      <c r="M264" s="268"/>
      <c r="N264" s="35"/>
    </row>
    <row r="265" spans="6:14" ht="12.75">
      <c r="F265" s="35"/>
      <c r="G265" s="35"/>
      <c r="H265" s="35"/>
      <c r="I265" s="35"/>
      <c r="J265" s="35"/>
      <c r="K265" s="35"/>
      <c r="L265" s="35"/>
      <c r="M265" s="268"/>
      <c r="N265" s="35"/>
    </row>
    <row r="266" spans="6:14" ht="12.75">
      <c r="F266" s="35"/>
      <c r="G266" s="35"/>
      <c r="H266" s="35"/>
      <c r="I266" s="35"/>
      <c r="J266" s="35"/>
      <c r="K266" s="35"/>
      <c r="L266" s="35"/>
      <c r="M266" s="268"/>
      <c r="N266" s="35"/>
    </row>
    <row r="267" spans="6:14" ht="12.75">
      <c r="F267" s="35"/>
      <c r="G267" s="35"/>
      <c r="H267" s="35"/>
      <c r="I267" s="35"/>
      <c r="J267" s="35"/>
      <c r="K267" s="35"/>
      <c r="L267" s="35"/>
      <c r="M267" s="268"/>
      <c r="N267" s="35"/>
    </row>
    <row r="268" spans="6:14" ht="12.75">
      <c r="F268" s="35"/>
      <c r="G268" s="35"/>
      <c r="H268" s="35"/>
      <c r="I268" s="35"/>
      <c r="J268" s="35"/>
      <c r="K268" s="35"/>
      <c r="L268" s="35"/>
      <c r="M268" s="268"/>
      <c r="N268" s="35"/>
    </row>
    <row r="269" spans="6:14" ht="12.75">
      <c r="F269" s="35"/>
      <c r="G269" s="35"/>
      <c r="H269" s="35"/>
      <c r="I269" s="35"/>
      <c r="J269" s="35"/>
      <c r="K269" s="35"/>
      <c r="L269" s="35"/>
      <c r="M269" s="268"/>
      <c r="N269" s="35"/>
    </row>
    <row r="270" spans="6:14" ht="12.75">
      <c r="F270" s="35"/>
      <c r="G270" s="35"/>
      <c r="H270" s="35"/>
      <c r="I270" s="35"/>
      <c r="J270" s="35"/>
      <c r="K270" s="35"/>
      <c r="L270" s="35"/>
      <c r="M270" s="268"/>
      <c r="N270" s="35"/>
    </row>
    <row r="271" spans="6:14" ht="12.75">
      <c r="F271" s="35"/>
      <c r="G271" s="35"/>
      <c r="H271" s="35"/>
      <c r="I271" s="35"/>
      <c r="J271" s="35"/>
      <c r="K271" s="35"/>
      <c r="L271" s="35"/>
      <c r="M271" s="268"/>
      <c r="N271" s="35"/>
    </row>
    <row r="272" spans="6:14" ht="12.75">
      <c r="F272" s="35"/>
      <c r="G272" s="35"/>
      <c r="H272" s="35"/>
      <c r="I272" s="35"/>
      <c r="J272" s="35"/>
      <c r="K272" s="35"/>
      <c r="L272" s="35"/>
      <c r="M272" s="268"/>
      <c r="N272" s="35"/>
    </row>
    <row r="273" spans="6:14" ht="12.75">
      <c r="F273" s="35"/>
      <c r="G273" s="35"/>
      <c r="H273" s="35"/>
      <c r="I273" s="35"/>
      <c r="J273" s="35"/>
      <c r="K273" s="35"/>
      <c r="L273" s="35"/>
      <c r="M273" s="268"/>
      <c r="N273" s="35"/>
    </row>
    <row r="274" spans="6:14" ht="12.75">
      <c r="F274" s="35"/>
      <c r="G274" s="35"/>
      <c r="H274" s="35"/>
      <c r="I274" s="35"/>
      <c r="J274" s="35"/>
      <c r="K274" s="35"/>
      <c r="L274" s="35"/>
      <c r="M274" s="268"/>
      <c r="N274" s="35"/>
    </row>
    <row r="275" spans="6:14" ht="12.75">
      <c r="F275" s="35"/>
      <c r="G275" s="35"/>
      <c r="H275" s="35"/>
      <c r="I275" s="35"/>
      <c r="J275" s="35"/>
      <c r="K275" s="35"/>
      <c r="L275" s="35"/>
      <c r="M275" s="268"/>
      <c r="N275" s="35"/>
    </row>
    <row r="276" spans="6:14" ht="12.75">
      <c r="F276" s="35"/>
      <c r="G276" s="35"/>
      <c r="H276" s="35"/>
      <c r="I276" s="35"/>
      <c r="J276" s="35"/>
      <c r="K276" s="35"/>
      <c r="L276" s="35"/>
      <c r="M276" s="268"/>
      <c r="N276" s="35"/>
    </row>
    <row r="277" spans="6:14" ht="12.75">
      <c r="F277" s="35"/>
      <c r="G277" s="35"/>
      <c r="H277" s="35"/>
      <c r="I277" s="35"/>
      <c r="J277" s="35"/>
      <c r="K277" s="35"/>
      <c r="L277" s="35"/>
      <c r="M277" s="268"/>
      <c r="N277" s="35"/>
    </row>
    <row r="278" spans="6:14" ht="12.75">
      <c r="F278" s="35"/>
      <c r="G278" s="35"/>
      <c r="H278" s="35"/>
      <c r="I278" s="35"/>
      <c r="J278" s="35"/>
      <c r="K278" s="35"/>
      <c r="L278" s="35"/>
      <c r="M278" s="268"/>
      <c r="N278" s="35"/>
    </row>
    <row r="279" spans="6:14" ht="12.75">
      <c r="F279" s="35"/>
      <c r="G279" s="35"/>
      <c r="H279" s="35"/>
      <c r="I279" s="35"/>
      <c r="J279" s="35"/>
      <c r="K279" s="35"/>
      <c r="L279" s="35"/>
      <c r="M279" s="268"/>
      <c r="N279" s="35"/>
    </row>
    <row r="280" spans="6:14" ht="12.75">
      <c r="F280" s="35"/>
      <c r="G280" s="35"/>
      <c r="H280" s="35"/>
      <c r="I280" s="35"/>
      <c r="J280" s="35"/>
      <c r="K280" s="35"/>
      <c r="L280" s="35"/>
      <c r="M280" s="268"/>
      <c r="N280" s="35"/>
    </row>
    <row r="281" spans="6:14" ht="12.75">
      <c r="F281" s="35"/>
      <c r="G281" s="35"/>
      <c r="H281" s="35"/>
      <c r="I281" s="35"/>
      <c r="J281" s="35"/>
      <c r="K281" s="35"/>
      <c r="L281" s="35"/>
      <c r="M281" s="268"/>
      <c r="N281" s="35"/>
    </row>
    <row r="282" spans="6:14" ht="12.75">
      <c r="F282" s="35"/>
      <c r="G282" s="35"/>
      <c r="H282" s="35"/>
      <c r="I282" s="35"/>
      <c r="J282" s="35"/>
      <c r="K282" s="35"/>
      <c r="L282" s="35"/>
      <c r="M282" s="268"/>
      <c r="N282" s="35"/>
    </row>
  </sheetData>
  <mergeCells count="55">
    <mergeCell ref="N65:N67"/>
    <mergeCell ref="F66:F67"/>
    <mergeCell ref="G66:G67"/>
    <mergeCell ref="H66:H67"/>
    <mergeCell ref="I66:I67"/>
    <mergeCell ref="J66:J67"/>
    <mergeCell ref="K66:K67"/>
    <mergeCell ref="L66:L67"/>
    <mergeCell ref="A65:C67"/>
    <mergeCell ref="D65:D67"/>
    <mergeCell ref="E65:E67"/>
    <mergeCell ref="M65:M67"/>
    <mergeCell ref="M6:M8"/>
    <mergeCell ref="N6:N8"/>
    <mergeCell ref="I7:I8"/>
    <mergeCell ref="J7:J8"/>
    <mergeCell ref="A216:B216"/>
    <mergeCell ref="A219:B219"/>
    <mergeCell ref="A209:B209"/>
    <mergeCell ref="A204:B204"/>
    <mergeCell ref="A206:B206"/>
    <mergeCell ref="A6:C8"/>
    <mergeCell ref="A3:N3"/>
    <mergeCell ref="D6:D8"/>
    <mergeCell ref="E6:E8"/>
    <mergeCell ref="K7:K8"/>
    <mergeCell ref="L7:L8"/>
    <mergeCell ref="A4:N4"/>
    <mergeCell ref="F7:F8"/>
    <mergeCell ref="G7:G8"/>
    <mergeCell ref="H7:H8"/>
    <mergeCell ref="A128:C130"/>
    <mergeCell ref="D128:D130"/>
    <mergeCell ref="E128:E130"/>
    <mergeCell ref="M128:M130"/>
    <mergeCell ref="N128:N130"/>
    <mergeCell ref="F129:F130"/>
    <mergeCell ref="G129:G130"/>
    <mergeCell ref="H129:H130"/>
    <mergeCell ref="I129:I130"/>
    <mergeCell ref="J129:J130"/>
    <mergeCell ref="K129:K130"/>
    <mergeCell ref="L129:L130"/>
    <mergeCell ref="N191:N193"/>
    <mergeCell ref="F192:F193"/>
    <mergeCell ref="G192:G193"/>
    <mergeCell ref="H192:H193"/>
    <mergeCell ref="A191:C193"/>
    <mergeCell ref="D191:D193"/>
    <mergeCell ref="E191:E193"/>
    <mergeCell ref="M191:M193"/>
    <mergeCell ref="I192:I193"/>
    <mergeCell ref="J192:J193"/>
    <mergeCell ref="K192:K193"/>
    <mergeCell ref="L192:L193"/>
  </mergeCells>
  <printOptions/>
  <pageMargins left="0.1968503937007874" right="0.15748031496062992" top="0.2" bottom="0.17" header="0.15748031496062992" footer="0.15748031496062992"/>
  <pageSetup horizontalDpi="600" verticalDpi="600" orientation="landscape" paperSize="9" scale="73" r:id="rId1"/>
  <rowBreaks count="3" manualBreakCount="3">
    <brk id="64" max="255" man="1"/>
    <brk id="127" max="255" man="1"/>
    <brk id="1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103"/>
  <sheetViews>
    <sheetView zoomScaleSheetLayoutView="100" workbookViewId="0" topLeftCell="A34">
      <selection activeCell="F49" sqref="F49"/>
    </sheetView>
  </sheetViews>
  <sheetFormatPr defaultColWidth="9.00390625" defaultRowHeight="12.75"/>
  <cols>
    <col min="1" max="1" width="20.875" style="499" customWidth="1"/>
    <col min="2" max="2" width="11.00390625" style="309" customWidth="1"/>
    <col min="3" max="4" width="9.75390625" style="307" customWidth="1"/>
    <col min="5" max="13" width="8.75390625" style="307" customWidth="1"/>
    <col min="14" max="14" width="11.75390625" style="308" customWidth="1"/>
    <col min="15" max="15" width="20.875" style="308" customWidth="1"/>
    <col min="16" max="16" width="11.75390625" style="308" customWidth="1"/>
    <col min="17" max="19" width="9.75390625" style="307" customWidth="1"/>
    <col min="20" max="20" width="13.75390625" style="307" customWidth="1"/>
    <col min="21" max="23" width="8.75390625" style="307" customWidth="1"/>
    <col min="24" max="24" width="11.75390625" style="308" bestFit="1" customWidth="1"/>
    <col min="25" max="25" width="11.375" style="307" bestFit="1" customWidth="1"/>
    <col min="26" max="16384" width="9.125" style="307" customWidth="1"/>
  </cols>
  <sheetData>
    <row r="2" spans="1:30" ht="20.25" customHeight="1">
      <c r="A2" s="617" t="s">
        <v>640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7" t="s">
        <v>640</v>
      </c>
      <c r="P2" s="619"/>
      <c r="Q2" s="619"/>
      <c r="R2" s="619"/>
      <c r="S2" s="619"/>
      <c r="T2" s="619"/>
      <c r="U2" s="619"/>
      <c r="V2" s="619"/>
      <c r="W2" s="619"/>
      <c r="X2" s="619"/>
      <c r="Y2" s="500"/>
      <c r="Z2" s="500"/>
      <c r="AA2" s="500"/>
      <c r="AB2" s="500"/>
      <c r="AC2" s="500"/>
      <c r="AD2" s="500"/>
    </row>
    <row r="3" spans="2:30" ht="12.75" customHeight="1" thickBot="1">
      <c r="B3" s="500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00"/>
      <c r="Z3" s="500"/>
      <c r="AA3" s="500"/>
      <c r="AB3" s="500"/>
      <c r="AC3" s="500"/>
      <c r="AD3" s="500"/>
    </row>
    <row r="4" spans="1:24" s="502" customFormat="1" ht="14.25" customHeight="1" thickTop="1">
      <c r="A4" s="610" t="s">
        <v>641</v>
      </c>
      <c r="B4" s="602"/>
      <c r="C4" s="602" t="s">
        <v>642</v>
      </c>
      <c r="D4" s="602" t="s">
        <v>643</v>
      </c>
      <c r="E4" s="602" t="s">
        <v>644</v>
      </c>
      <c r="F4" s="602" t="s">
        <v>645</v>
      </c>
      <c r="G4" s="602" t="s">
        <v>646</v>
      </c>
      <c r="H4" s="602"/>
      <c r="I4" s="602" t="s">
        <v>647</v>
      </c>
      <c r="J4" s="602"/>
      <c r="K4" s="602" t="s">
        <v>648</v>
      </c>
      <c r="L4" s="602" t="s">
        <v>649</v>
      </c>
      <c r="M4" s="602"/>
      <c r="N4" s="604" t="s">
        <v>650</v>
      </c>
      <c r="O4" s="610" t="s">
        <v>641</v>
      </c>
      <c r="P4" s="602"/>
      <c r="Q4" s="608" t="s">
        <v>269</v>
      </c>
      <c r="R4" s="609"/>
      <c r="S4" s="609"/>
      <c r="T4" s="609"/>
      <c r="U4" s="609"/>
      <c r="V4" s="609" t="s">
        <v>205</v>
      </c>
      <c r="W4" s="609"/>
      <c r="X4" s="604" t="s">
        <v>651</v>
      </c>
    </row>
    <row r="5" spans="1:24" s="503" customFormat="1" ht="46.5" customHeight="1">
      <c r="A5" s="611"/>
      <c r="B5" s="603"/>
      <c r="C5" s="603"/>
      <c r="D5" s="603"/>
      <c r="E5" s="603"/>
      <c r="F5" s="603"/>
      <c r="G5" s="501" t="s">
        <v>652</v>
      </c>
      <c r="H5" s="501" t="s">
        <v>653</v>
      </c>
      <c r="I5" s="501" t="s">
        <v>652</v>
      </c>
      <c r="J5" s="501" t="s">
        <v>653</v>
      </c>
      <c r="K5" s="603"/>
      <c r="L5" s="501" t="s">
        <v>654</v>
      </c>
      <c r="M5" s="501" t="s">
        <v>655</v>
      </c>
      <c r="N5" s="605"/>
      <c r="O5" s="611"/>
      <c r="P5" s="603"/>
      <c r="Q5" s="520" t="s">
        <v>256</v>
      </c>
      <c r="R5" s="501" t="s">
        <v>656</v>
      </c>
      <c r="S5" s="501" t="s">
        <v>657</v>
      </c>
      <c r="T5" s="501" t="s">
        <v>658</v>
      </c>
      <c r="U5" s="501" t="s">
        <v>659</v>
      </c>
      <c r="V5" s="501" t="s">
        <v>244</v>
      </c>
      <c r="W5" s="501" t="s">
        <v>263</v>
      </c>
      <c r="X5" s="605"/>
    </row>
    <row r="6" spans="1:24" ht="12" customHeight="1">
      <c r="A6" s="606" t="s">
        <v>272</v>
      </c>
      <c r="B6" s="504" t="s">
        <v>206</v>
      </c>
      <c r="C6" s="505">
        <v>6031</v>
      </c>
      <c r="D6" s="505">
        <v>4335</v>
      </c>
      <c r="E6" s="505">
        <v>1508</v>
      </c>
      <c r="F6" s="505">
        <v>0</v>
      </c>
      <c r="G6" s="505">
        <v>0</v>
      </c>
      <c r="H6" s="505">
        <v>0</v>
      </c>
      <c r="I6" s="505">
        <v>0</v>
      </c>
      <c r="J6" s="505">
        <v>0</v>
      </c>
      <c r="K6" s="505">
        <v>0</v>
      </c>
      <c r="L6" s="505"/>
      <c r="M6" s="505"/>
      <c r="N6" s="523">
        <f>SUM(C6:M6)-D6</f>
        <v>7539</v>
      </c>
      <c r="O6" s="606" t="s">
        <v>272</v>
      </c>
      <c r="P6" s="504" t="s">
        <v>206</v>
      </c>
      <c r="Q6" s="521">
        <f>35877</f>
        <v>35877</v>
      </c>
      <c r="R6" s="505">
        <v>9320</v>
      </c>
      <c r="S6" s="505">
        <v>13615</v>
      </c>
      <c r="T6" s="505">
        <v>5102</v>
      </c>
      <c r="U6" s="505">
        <v>0</v>
      </c>
      <c r="V6" s="505">
        <v>0</v>
      </c>
      <c r="W6" s="505">
        <v>1350</v>
      </c>
      <c r="X6" s="523">
        <f>SUM(Q6:W6)-T6</f>
        <v>60162</v>
      </c>
    </row>
    <row r="7" spans="1:24" ht="12" customHeight="1">
      <c r="A7" s="607"/>
      <c r="B7" s="504" t="s">
        <v>700</v>
      </c>
      <c r="C7" s="505">
        <v>6031</v>
      </c>
      <c r="D7" s="505">
        <v>4335</v>
      </c>
      <c r="E7" s="505">
        <v>1508</v>
      </c>
      <c r="F7" s="505">
        <v>0</v>
      </c>
      <c r="G7" s="505">
        <v>0</v>
      </c>
      <c r="H7" s="505">
        <v>0</v>
      </c>
      <c r="I7" s="505">
        <v>0</v>
      </c>
      <c r="J7" s="505">
        <v>0</v>
      </c>
      <c r="K7" s="505">
        <v>0</v>
      </c>
      <c r="L7" s="505">
        <v>193</v>
      </c>
      <c r="M7" s="505"/>
      <c r="N7" s="523">
        <f>SUM(C7:M7)-D7</f>
        <v>7732</v>
      </c>
      <c r="O7" s="607"/>
      <c r="P7" s="504" t="s">
        <v>700</v>
      </c>
      <c r="Q7" s="521">
        <f>35877+2043-129</f>
        <v>37791</v>
      </c>
      <c r="R7" s="505">
        <f>9320+552+39</f>
        <v>9911</v>
      </c>
      <c r="S7" s="505">
        <f>13615+120+129+415+193</f>
        <v>14472</v>
      </c>
      <c r="T7" s="505">
        <v>5102</v>
      </c>
      <c r="U7" s="505">
        <v>0</v>
      </c>
      <c r="V7" s="505">
        <v>0</v>
      </c>
      <c r="W7" s="505">
        <v>1350</v>
      </c>
      <c r="X7" s="523">
        <f>SUM(Q7:W7)-T7</f>
        <v>63524</v>
      </c>
    </row>
    <row r="8" spans="1:24" ht="12" customHeight="1">
      <c r="A8" s="606" t="s">
        <v>273</v>
      </c>
      <c r="B8" s="504" t="s">
        <v>206</v>
      </c>
      <c r="C8" s="505">
        <v>3554</v>
      </c>
      <c r="D8" s="505">
        <v>3016</v>
      </c>
      <c r="E8" s="505">
        <v>889</v>
      </c>
      <c r="F8" s="505">
        <v>0</v>
      </c>
      <c r="G8" s="505">
        <v>0</v>
      </c>
      <c r="H8" s="505">
        <v>0</v>
      </c>
      <c r="I8" s="505">
        <v>0</v>
      </c>
      <c r="J8" s="505">
        <v>0</v>
      </c>
      <c r="K8" s="505">
        <v>0</v>
      </c>
      <c r="L8" s="505"/>
      <c r="M8" s="505"/>
      <c r="N8" s="523">
        <f>SUM(C8:M8)-D8</f>
        <v>4443</v>
      </c>
      <c r="O8" s="606" t="s">
        <v>273</v>
      </c>
      <c r="P8" s="504" t="s">
        <v>206</v>
      </c>
      <c r="Q8" s="521">
        <v>25342</v>
      </c>
      <c r="R8" s="505">
        <v>6611</v>
      </c>
      <c r="S8" s="505">
        <v>10485</v>
      </c>
      <c r="T8" s="505">
        <v>4556</v>
      </c>
      <c r="U8" s="505">
        <v>0</v>
      </c>
      <c r="V8" s="505">
        <v>0</v>
      </c>
      <c r="W8" s="505">
        <v>0</v>
      </c>
      <c r="X8" s="523">
        <f aca="true" t="shared" si="0" ref="X8:X49">SUM(Q8:W8)-T8</f>
        <v>42438</v>
      </c>
    </row>
    <row r="9" spans="1:24" ht="12" customHeight="1">
      <c r="A9" s="607"/>
      <c r="B9" s="504" t="s">
        <v>700</v>
      </c>
      <c r="C9" s="505">
        <v>3554</v>
      </c>
      <c r="D9" s="505">
        <v>3016</v>
      </c>
      <c r="E9" s="505">
        <v>889</v>
      </c>
      <c r="F9" s="505">
        <v>0</v>
      </c>
      <c r="G9" s="505">
        <v>0</v>
      </c>
      <c r="H9" s="505">
        <v>0</v>
      </c>
      <c r="I9" s="505">
        <v>0</v>
      </c>
      <c r="J9" s="505">
        <v>0</v>
      </c>
      <c r="K9" s="505">
        <v>0</v>
      </c>
      <c r="L9" s="505">
        <v>8</v>
      </c>
      <c r="M9" s="505"/>
      <c r="N9" s="523">
        <f>SUM(C9:M9)-D9</f>
        <v>4451</v>
      </c>
      <c r="O9" s="607"/>
      <c r="P9" s="504" t="s">
        <v>700</v>
      </c>
      <c r="Q9" s="521">
        <f>25342+1336+37</f>
        <v>26715</v>
      </c>
      <c r="R9" s="505">
        <f>6611+361+26+10</f>
        <v>7008</v>
      </c>
      <c r="S9" s="505">
        <f>10485+160+8</f>
        <v>10653</v>
      </c>
      <c r="T9" s="505">
        <v>4556</v>
      </c>
      <c r="U9" s="505">
        <v>0</v>
      </c>
      <c r="V9" s="505">
        <v>0</v>
      </c>
      <c r="W9" s="505">
        <v>0</v>
      </c>
      <c r="X9" s="523">
        <f t="shared" si="0"/>
        <v>44376</v>
      </c>
    </row>
    <row r="10" spans="1:24" ht="12" customHeight="1">
      <c r="A10" s="606" t="s">
        <v>178</v>
      </c>
      <c r="B10" s="504" t="s">
        <v>206</v>
      </c>
      <c r="C10" s="505">
        <v>1836</v>
      </c>
      <c r="D10" s="505">
        <v>1567</v>
      </c>
      <c r="E10" s="505">
        <v>459</v>
      </c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0</v>
      </c>
      <c r="L10" s="505"/>
      <c r="M10" s="505"/>
      <c r="N10" s="523">
        <f aca="true" t="shared" si="1" ref="N10:N49">SUM(C10:M10)-D10</f>
        <v>2295</v>
      </c>
      <c r="O10" s="606" t="s">
        <v>178</v>
      </c>
      <c r="P10" s="504" t="s">
        <v>206</v>
      </c>
      <c r="Q10" s="521">
        <v>13509</v>
      </c>
      <c r="R10" s="505">
        <v>3547</v>
      </c>
      <c r="S10" s="505">
        <v>6609</v>
      </c>
      <c r="T10" s="505">
        <v>2222</v>
      </c>
      <c r="U10" s="505">
        <v>0</v>
      </c>
      <c r="V10" s="505">
        <v>0</v>
      </c>
      <c r="W10" s="505">
        <v>5000</v>
      </c>
      <c r="X10" s="523">
        <f t="shared" si="0"/>
        <v>28665</v>
      </c>
    </row>
    <row r="11" spans="1:24" ht="12" customHeight="1">
      <c r="A11" s="607"/>
      <c r="B11" s="504" t="s">
        <v>700</v>
      </c>
      <c r="C11" s="505">
        <v>1836</v>
      </c>
      <c r="D11" s="505">
        <v>1567</v>
      </c>
      <c r="E11" s="505">
        <v>459</v>
      </c>
      <c r="F11" s="505">
        <v>0</v>
      </c>
      <c r="G11" s="505">
        <v>0</v>
      </c>
      <c r="H11" s="505">
        <v>0</v>
      </c>
      <c r="I11" s="505">
        <v>0</v>
      </c>
      <c r="J11" s="505">
        <v>0</v>
      </c>
      <c r="K11" s="505">
        <v>0</v>
      </c>
      <c r="L11" s="505">
        <v>12</v>
      </c>
      <c r="M11" s="505"/>
      <c r="N11" s="523">
        <f t="shared" si="1"/>
        <v>2307</v>
      </c>
      <c r="O11" s="607"/>
      <c r="P11" s="504" t="s">
        <v>700</v>
      </c>
      <c r="Q11" s="521">
        <f>13509+700+39</f>
        <v>14248</v>
      </c>
      <c r="R11" s="505">
        <f>3547+189+15+11</f>
        <v>3762</v>
      </c>
      <c r="S11" s="505">
        <f>6609+12</f>
        <v>6621</v>
      </c>
      <c r="T11" s="505">
        <v>2222</v>
      </c>
      <c r="U11" s="505">
        <v>0</v>
      </c>
      <c r="V11" s="505">
        <v>0</v>
      </c>
      <c r="W11" s="505">
        <v>5000</v>
      </c>
      <c r="X11" s="523">
        <f t="shared" si="0"/>
        <v>29631</v>
      </c>
    </row>
    <row r="12" spans="1:24" ht="12" customHeight="1">
      <c r="A12" s="606" t="s">
        <v>274</v>
      </c>
      <c r="B12" s="504" t="s">
        <v>206</v>
      </c>
      <c r="C12" s="505">
        <v>2742</v>
      </c>
      <c r="D12" s="505">
        <v>2358</v>
      </c>
      <c r="E12" s="505">
        <v>685</v>
      </c>
      <c r="F12" s="505">
        <v>0</v>
      </c>
      <c r="G12" s="505">
        <v>0</v>
      </c>
      <c r="H12" s="505">
        <v>0</v>
      </c>
      <c r="I12" s="505">
        <v>0</v>
      </c>
      <c r="J12" s="505">
        <v>0</v>
      </c>
      <c r="K12" s="505">
        <v>0</v>
      </c>
      <c r="L12" s="505"/>
      <c r="M12" s="505"/>
      <c r="N12" s="523">
        <f t="shared" si="1"/>
        <v>3427</v>
      </c>
      <c r="O12" s="606" t="s">
        <v>274</v>
      </c>
      <c r="P12" s="504" t="s">
        <v>206</v>
      </c>
      <c r="Q12" s="521">
        <v>20164</v>
      </c>
      <c r="R12" s="505">
        <v>5222</v>
      </c>
      <c r="S12" s="505">
        <v>7623</v>
      </c>
      <c r="T12" s="505">
        <v>3232</v>
      </c>
      <c r="U12" s="505">
        <v>0</v>
      </c>
      <c r="V12" s="505">
        <v>0</v>
      </c>
      <c r="W12" s="505">
        <v>0</v>
      </c>
      <c r="X12" s="523">
        <f t="shared" si="0"/>
        <v>33009</v>
      </c>
    </row>
    <row r="13" spans="1:24" ht="12" customHeight="1">
      <c r="A13" s="607"/>
      <c r="B13" s="504" t="s">
        <v>700</v>
      </c>
      <c r="C13" s="505">
        <v>2742</v>
      </c>
      <c r="D13" s="505">
        <v>2358</v>
      </c>
      <c r="E13" s="505">
        <v>685</v>
      </c>
      <c r="F13" s="505">
        <v>0</v>
      </c>
      <c r="G13" s="505">
        <v>0</v>
      </c>
      <c r="H13" s="505">
        <v>0</v>
      </c>
      <c r="I13" s="505">
        <v>0</v>
      </c>
      <c r="J13" s="505">
        <v>0</v>
      </c>
      <c r="K13" s="505">
        <v>0</v>
      </c>
      <c r="L13" s="505"/>
      <c r="M13" s="505"/>
      <c r="N13" s="523">
        <f t="shared" si="1"/>
        <v>3427</v>
      </c>
      <c r="O13" s="607"/>
      <c r="P13" s="504" t="s">
        <v>700</v>
      </c>
      <c r="Q13" s="521">
        <f>20164+1011+233+80</f>
        <v>21488</v>
      </c>
      <c r="R13" s="505">
        <f>5222+273+63+19+22</f>
        <v>5599</v>
      </c>
      <c r="S13" s="505">
        <f>7623+50</f>
        <v>7673</v>
      </c>
      <c r="T13" s="505">
        <v>3232</v>
      </c>
      <c r="U13" s="505">
        <v>0</v>
      </c>
      <c r="V13" s="505">
        <v>0</v>
      </c>
      <c r="W13" s="505">
        <v>0</v>
      </c>
      <c r="X13" s="523">
        <f t="shared" si="0"/>
        <v>34760</v>
      </c>
    </row>
    <row r="14" spans="1:24" ht="12" customHeight="1">
      <c r="A14" s="606" t="s">
        <v>275</v>
      </c>
      <c r="B14" s="504" t="s">
        <v>206</v>
      </c>
      <c r="C14" s="505">
        <v>4314</v>
      </c>
      <c r="D14" s="505">
        <v>3661</v>
      </c>
      <c r="E14" s="505">
        <v>1078</v>
      </c>
      <c r="F14" s="505">
        <v>0</v>
      </c>
      <c r="G14" s="505">
        <v>0</v>
      </c>
      <c r="H14" s="505">
        <v>0</v>
      </c>
      <c r="I14" s="505">
        <v>0</v>
      </c>
      <c r="J14" s="505">
        <v>0</v>
      </c>
      <c r="K14" s="505">
        <v>0</v>
      </c>
      <c r="L14" s="505"/>
      <c r="M14" s="505"/>
      <c r="N14" s="523">
        <f t="shared" si="1"/>
        <v>5392</v>
      </c>
      <c r="O14" s="606" t="s">
        <v>275</v>
      </c>
      <c r="P14" s="504" t="s">
        <v>206</v>
      </c>
      <c r="Q14" s="521">
        <f>30737-36</f>
        <v>30701</v>
      </c>
      <c r="R14" s="505">
        <v>7970</v>
      </c>
      <c r="S14" s="505">
        <f>10713-9</f>
        <v>10704</v>
      </c>
      <c r="T14" s="505">
        <v>4092</v>
      </c>
      <c r="U14" s="505">
        <v>0</v>
      </c>
      <c r="V14" s="505">
        <v>0</v>
      </c>
      <c r="W14" s="505">
        <v>0</v>
      </c>
      <c r="X14" s="523">
        <f t="shared" si="0"/>
        <v>49375</v>
      </c>
    </row>
    <row r="15" spans="1:24" ht="12" customHeight="1">
      <c r="A15" s="607"/>
      <c r="B15" s="504" t="s">
        <v>700</v>
      </c>
      <c r="C15" s="505">
        <v>4314</v>
      </c>
      <c r="D15" s="505">
        <v>3661</v>
      </c>
      <c r="E15" s="505">
        <v>1078</v>
      </c>
      <c r="F15" s="505">
        <v>0</v>
      </c>
      <c r="G15" s="505"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249</v>
      </c>
      <c r="M15" s="505"/>
      <c r="N15" s="523">
        <f t="shared" si="1"/>
        <v>5641</v>
      </c>
      <c r="O15" s="607"/>
      <c r="P15" s="504" t="s">
        <v>700</v>
      </c>
      <c r="Q15" s="521">
        <f>30737-36+1699+14+90</f>
        <v>32504</v>
      </c>
      <c r="R15" s="505">
        <f>7970+459+30+4+24</f>
        <v>8487</v>
      </c>
      <c r="S15" s="505">
        <f>10713-9+231</f>
        <v>10935</v>
      </c>
      <c r="T15" s="505">
        <v>4092</v>
      </c>
      <c r="U15" s="505">
        <v>0</v>
      </c>
      <c r="V15" s="505">
        <v>0</v>
      </c>
      <c r="W15" s="505">
        <v>0</v>
      </c>
      <c r="X15" s="523">
        <f t="shared" si="0"/>
        <v>51926</v>
      </c>
    </row>
    <row r="16" spans="1:24" ht="12" customHeight="1">
      <c r="A16" s="606" t="s">
        <v>660</v>
      </c>
      <c r="B16" s="504" t="s">
        <v>206</v>
      </c>
      <c r="C16" s="505">
        <v>2797</v>
      </c>
      <c r="D16" s="505">
        <v>2358</v>
      </c>
      <c r="E16" s="505">
        <v>699</v>
      </c>
      <c r="F16" s="505">
        <v>0</v>
      </c>
      <c r="G16" s="505">
        <v>0</v>
      </c>
      <c r="H16" s="505">
        <v>0</v>
      </c>
      <c r="I16" s="505">
        <v>0</v>
      </c>
      <c r="J16" s="505">
        <v>0</v>
      </c>
      <c r="K16" s="505">
        <v>0</v>
      </c>
      <c r="L16" s="505"/>
      <c r="M16" s="505"/>
      <c r="N16" s="523">
        <f t="shared" si="1"/>
        <v>3496</v>
      </c>
      <c r="O16" s="606" t="s">
        <v>660</v>
      </c>
      <c r="P16" s="504" t="s">
        <v>206</v>
      </c>
      <c r="Q16" s="521">
        <v>17036</v>
      </c>
      <c r="R16" s="505">
        <v>4347</v>
      </c>
      <c r="S16" s="505">
        <v>7513</v>
      </c>
      <c r="T16" s="505">
        <v>2655</v>
      </c>
      <c r="U16" s="505">
        <v>0</v>
      </c>
      <c r="V16" s="505">
        <v>0</v>
      </c>
      <c r="W16" s="505">
        <v>0</v>
      </c>
      <c r="X16" s="523">
        <f t="shared" si="0"/>
        <v>28896</v>
      </c>
    </row>
    <row r="17" spans="1:24" ht="12" customHeight="1">
      <c r="A17" s="607"/>
      <c r="B17" s="504" t="s">
        <v>700</v>
      </c>
      <c r="C17" s="505">
        <v>2797</v>
      </c>
      <c r="D17" s="505">
        <v>2358</v>
      </c>
      <c r="E17" s="505">
        <v>699</v>
      </c>
      <c r="F17" s="505">
        <v>0</v>
      </c>
      <c r="G17" s="505">
        <v>0</v>
      </c>
      <c r="H17" s="505">
        <v>0</v>
      </c>
      <c r="I17" s="505">
        <v>0</v>
      </c>
      <c r="J17" s="505">
        <v>0</v>
      </c>
      <c r="K17" s="505">
        <v>0</v>
      </c>
      <c r="L17" s="505">
        <v>102</v>
      </c>
      <c r="M17" s="505"/>
      <c r="N17" s="523">
        <f t="shared" si="1"/>
        <v>3598</v>
      </c>
      <c r="O17" s="607"/>
      <c r="P17" s="504" t="s">
        <v>700</v>
      </c>
      <c r="Q17" s="521">
        <f>17036+923+672+91</f>
        <v>18722</v>
      </c>
      <c r="R17" s="505">
        <f>4347+249+181+17+25</f>
        <v>4819</v>
      </c>
      <c r="S17" s="505">
        <f>7513+70+102</f>
        <v>7685</v>
      </c>
      <c r="T17" s="505">
        <v>2655</v>
      </c>
      <c r="U17" s="505">
        <v>0</v>
      </c>
      <c r="V17" s="505">
        <v>0</v>
      </c>
      <c r="W17" s="505">
        <v>0</v>
      </c>
      <c r="X17" s="523">
        <f t="shared" si="0"/>
        <v>31226</v>
      </c>
    </row>
    <row r="18" spans="1:24" ht="12" customHeight="1">
      <c r="A18" s="606" t="s">
        <v>276</v>
      </c>
      <c r="B18" s="504" t="s">
        <v>206</v>
      </c>
      <c r="C18" s="505">
        <v>5160</v>
      </c>
      <c r="D18" s="505">
        <v>2225</v>
      </c>
      <c r="E18" s="505">
        <v>1290</v>
      </c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>
        <v>0</v>
      </c>
      <c r="L18" s="505"/>
      <c r="M18" s="505"/>
      <c r="N18" s="523">
        <f t="shared" si="1"/>
        <v>6450</v>
      </c>
      <c r="O18" s="606" t="s">
        <v>276</v>
      </c>
      <c r="P18" s="504" t="s">
        <v>206</v>
      </c>
      <c r="Q18" s="521">
        <f>25865-24</f>
        <v>25841</v>
      </c>
      <c r="R18" s="505">
        <v>6699</v>
      </c>
      <c r="S18" s="505">
        <f>11638-6</f>
        <v>11632</v>
      </c>
      <c r="T18" s="505">
        <v>2885</v>
      </c>
      <c r="U18" s="505">
        <v>0</v>
      </c>
      <c r="V18" s="505">
        <v>0</v>
      </c>
      <c r="W18" s="505">
        <v>0</v>
      </c>
      <c r="X18" s="523">
        <f t="shared" si="0"/>
        <v>44172</v>
      </c>
    </row>
    <row r="19" spans="1:24" ht="12" customHeight="1">
      <c r="A19" s="607"/>
      <c r="B19" s="504" t="s">
        <v>700</v>
      </c>
      <c r="C19" s="505">
        <v>5160</v>
      </c>
      <c r="D19" s="505">
        <v>2225</v>
      </c>
      <c r="E19" s="505">
        <v>1290</v>
      </c>
      <c r="F19" s="505">
        <v>0</v>
      </c>
      <c r="G19" s="505">
        <v>0</v>
      </c>
      <c r="H19" s="505">
        <v>0</v>
      </c>
      <c r="I19" s="505">
        <v>0</v>
      </c>
      <c r="J19" s="505">
        <v>0</v>
      </c>
      <c r="K19" s="505">
        <v>0</v>
      </c>
      <c r="L19" s="505">
        <v>306</v>
      </c>
      <c r="M19" s="505"/>
      <c r="N19" s="523">
        <f t="shared" si="1"/>
        <v>6756</v>
      </c>
      <c r="O19" s="607"/>
      <c r="P19" s="504" t="s">
        <v>700</v>
      </c>
      <c r="Q19" s="521">
        <f>25865-24+1589</f>
        <v>27430</v>
      </c>
      <c r="R19" s="505">
        <f>6699+429+24</f>
        <v>7152</v>
      </c>
      <c r="S19" s="505">
        <f>11638-6+50+306</f>
        <v>11988</v>
      </c>
      <c r="T19" s="505">
        <v>2885</v>
      </c>
      <c r="U19" s="505">
        <v>0</v>
      </c>
      <c r="V19" s="505">
        <v>0</v>
      </c>
      <c r="W19" s="505">
        <v>0</v>
      </c>
      <c r="X19" s="523">
        <f t="shared" si="0"/>
        <v>46570</v>
      </c>
    </row>
    <row r="20" spans="1:24" ht="12" customHeight="1">
      <c r="A20" s="606" t="s">
        <v>179</v>
      </c>
      <c r="B20" s="504" t="s">
        <v>206</v>
      </c>
      <c r="C20" s="505">
        <v>4155</v>
      </c>
      <c r="D20" s="505">
        <v>3617</v>
      </c>
      <c r="E20" s="505">
        <v>1039</v>
      </c>
      <c r="F20" s="505">
        <v>0</v>
      </c>
      <c r="G20" s="505">
        <v>0</v>
      </c>
      <c r="H20" s="505">
        <v>0</v>
      </c>
      <c r="I20" s="505">
        <v>0</v>
      </c>
      <c r="J20" s="505">
        <v>0</v>
      </c>
      <c r="K20" s="505">
        <v>0</v>
      </c>
      <c r="L20" s="505"/>
      <c r="M20" s="505"/>
      <c r="N20" s="523">
        <f t="shared" si="1"/>
        <v>5194</v>
      </c>
      <c r="O20" s="606" t="s">
        <v>179</v>
      </c>
      <c r="P20" s="504" t="s">
        <v>206</v>
      </c>
      <c r="Q20" s="521">
        <v>27625</v>
      </c>
      <c r="R20" s="505">
        <v>7185</v>
      </c>
      <c r="S20" s="505">
        <v>11029</v>
      </c>
      <c r="T20" s="505">
        <v>4702</v>
      </c>
      <c r="U20" s="505">
        <v>0</v>
      </c>
      <c r="V20" s="505">
        <v>0</v>
      </c>
      <c r="W20" s="505">
        <v>0</v>
      </c>
      <c r="X20" s="523">
        <f t="shared" si="0"/>
        <v>45839</v>
      </c>
    </row>
    <row r="21" spans="1:24" ht="12" customHeight="1">
      <c r="A21" s="607"/>
      <c r="B21" s="504" t="s">
        <v>700</v>
      </c>
      <c r="C21" s="505">
        <v>4155</v>
      </c>
      <c r="D21" s="505">
        <v>3617</v>
      </c>
      <c r="E21" s="505">
        <v>1039</v>
      </c>
      <c r="F21" s="505">
        <v>0</v>
      </c>
      <c r="G21" s="505">
        <v>0</v>
      </c>
      <c r="H21" s="505">
        <v>0</v>
      </c>
      <c r="I21" s="505">
        <v>0</v>
      </c>
      <c r="J21" s="505">
        <v>0</v>
      </c>
      <c r="K21" s="505">
        <v>0</v>
      </c>
      <c r="L21" s="505">
        <v>65</v>
      </c>
      <c r="M21" s="505"/>
      <c r="N21" s="523">
        <f t="shared" si="1"/>
        <v>5259</v>
      </c>
      <c r="O21" s="607"/>
      <c r="P21" s="504" t="s">
        <v>700</v>
      </c>
      <c r="Q21" s="521">
        <f>27625+1500+99</f>
        <v>29224</v>
      </c>
      <c r="R21" s="505">
        <f>7185+404+27+27</f>
        <v>7643</v>
      </c>
      <c r="S21" s="505">
        <f>11029+100+65</f>
        <v>11194</v>
      </c>
      <c r="T21" s="505">
        <v>4702</v>
      </c>
      <c r="U21" s="505">
        <v>0</v>
      </c>
      <c r="V21" s="505">
        <v>0</v>
      </c>
      <c r="W21" s="505">
        <v>0</v>
      </c>
      <c r="X21" s="523">
        <f t="shared" si="0"/>
        <v>48061</v>
      </c>
    </row>
    <row r="22" spans="1:24" ht="12" customHeight="1">
      <c r="A22" s="606" t="s">
        <v>277</v>
      </c>
      <c r="B22" s="504" t="s">
        <v>206</v>
      </c>
      <c r="C22" s="505">
        <v>974</v>
      </c>
      <c r="D22" s="505">
        <v>820</v>
      </c>
      <c r="E22" s="505">
        <v>243</v>
      </c>
      <c r="F22" s="505">
        <v>0</v>
      </c>
      <c r="G22" s="505">
        <v>0</v>
      </c>
      <c r="H22" s="505">
        <v>0</v>
      </c>
      <c r="I22" s="505">
        <v>0</v>
      </c>
      <c r="J22" s="505">
        <v>0</v>
      </c>
      <c r="K22" s="505">
        <v>0</v>
      </c>
      <c r="L22" s="505"/>
      <c r="M22" s="505"/>
      <c r="N22" s="523">
        <f t="shared" si="1"/>
        <v>1217</v>
      </c>
      <c r="O22" s="606" t="s">
        <v>277</v>
      </c>
      <c r="P22" s="504" t="s">
        <v>206</v>
      </c>
      <c r="Q22" s="521">
        <f>7864-24</f>
        <v>7840</v>
      </c>
      <c r="R22" s="505">
        <v>2069</v>
      </c>
      <c r="S22" s="505">
        <f>3518-6</f>
        <v>3512</v>
      </c>
      <c r="T22" s="505">
        <v>1070</v>
      </c>
      <c r="U22" s="505">
        <v>0</v>
      </c>
      <c r="V22" s="505">
        <v>0</v>
      </c>
      <c r="W22" s="505">
        <v>0</v>
      </c>
      <c r="X22" s="523">
        <f t="shared" si="0"/>
        <v>13421</v>
      </c>
    </row>
    <row r="23" spans="1:24" ht="12" customHeight="1">
      <c r="A23" s="607"/>
      <c r="B23" s="504" t="s">
        <v>700</v>
      </c>
      <c r="C23" s="505">
        <v>974</v>
      </c>
      <c r="D23" s="505">
        <v>820</v>
      </c>
      <c r="E23" s="505">
        <v>243</v>
      </c>
      <c r="F23" s="505">
        <v>0</v>
      </c>
      <c r="G23" s="505">
        <v>0</v>
      </c>
      <c r="H23" s="505">
        <v>0</v>
      </c>
      <c r="I23" s="505">
        <v>0</v>
      </c>
      <c r="J23" s="505">
        <v>0</v>
      </c>
      <c r="K23" s="505">
        <v>0</v>
      </c>
      <c r="L23" s="505">
        <v>21</v>
      </c>
      <c r="M23" s="505"/>
      <c r="N23" s="523">
        <f t="shared" si="1"/>
        <v>1238</v>
      </c>
      <c r="O23" s="607"/>
      <c r="P23" s="504" t="s">
        <v>700</v>
      </c>
      <c r="Q23" s="521">
        <f>7864-24+355+40</f>
        <v>8235</v>
      </c>
      <c r="R23" s="505">
        <f>2069+95+7+11</f>
        <v>2182</v>
      </c>
      <c r="S23" s="505">
        <f>3518-6+21</f>
        <v>3533</v>
      </c>
      <c r="T23" s="505">
        <v>1070</v>
      </c>
      <c r="U23" s="505">
        <v>0</v>
      </c>
      <c r="V23" s="505">
        <v>0</v>
      </c>
      <c r="W23" s="505">
        <v>0</v>
      </c>
      <c r="X23" s="523">
        <f t="shared" si="0"/>
        <v>13950</v>
      </c>
    </row>
    <row r="24" spans="1:24" ht="12" customHeight="1">
      <c r="A24" s="606" t="s">
        <v>661</v>
      </c>
      <c r="B24" s="504" t="s">
        <v>206</v>
      </c>
      <c r="C24" s="505">
        <v>4903</v>
      </c>
      <c r="D24" s="505">
        <v>3604</v>
      </c>
      <c r="E24" s="505">
        <v>1226</v>
      </c>
      <c r="F24" s="505">
        <v>0</v>
      </c>
      <c r="G24" s="505">
        <v>0</v>
      </c>
      <c r="H24" s="505">
        <v>0</v>
      </c>
      <c r="I24" s="505">
        <v>0</v>
      </c>
      <c r="J24" s="505">
        <v>0</v>
      </c>
      <c r="K24" s="505">
        <v>0</v>
      </c>
      <c r="L24" s="505"/>
      <c r="M24" s="505"/>
      <c r="N24" s="523">
        <f t="shared" si="1"/>
        <v>6129</v>
      </c>
      <c r="O24" s="606" t="s">
        <v>661</v>
      </c>
      <c r="P24" s="504" t="s">
        <v>206</v>
      </c>
      <c r="Q24" s="521">
        <v>36077</v>
      </c>
      <c r="R24" s="505">
        <v>9226</v>
      </c>
      <c r="S24" s="505">
        <v>20146</v>
      </c>
      <c r="T24" s="505">
        <v>4028</v>
      </c>
      <c r="U24" s="505">
        <v>0</v>
      </c>
      <c r="V24" s="505">
        <v>2400</v>
      </c>
      <c r="W24" s="505">
        <v>0</v>
      </c>
      <c r="X24" s="523">
        <f t="shared" si="0"/>
        <v>67849</v>
      </c>
    </row>
    <row r="25" spans="1:24" ht="12" customHeight="1">
      <c r="A25" s="607"/>
      <c r="B25" s="504" t="s">
        <v>700</v>
      </c>
      <c r="C25" s="505">
        <v>4903</v>
      </c>
      <c r="D25" s="505">
        <v>3604</v>
      </c>
      <c r="E25" s="505">
        <v>1226</v>
      </c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>
        <v>0</v>
      </c>
      <c r="L25" s="505">
        <v>987</v>
      </c>
      <c r="M25" s="505"/>
      <c r="N25" s="523">
        <f t="shared" si="1"/>
        <v>7116</v>
      </c>
      <c r="O25" s="607"/>
      <c r="P25" s="504" t="s">
        <v>700</v>
      </c>
      <c r="Q25" s="521">
        <f>36077+2770+33</f>
        <v>38880</v>
      </c>
      <c r="R25" s="505">
        <f>9226+748+53+9</f>
        <v>10036</v>
      </c>
      <c r="S25" s="505">
        <f>20146+50+987</f>
        <v>21183</v>
      </c>
      <c r="T25" s="505">
        <v>4028</v>
      </c>
      <c r="U25" s="505">
        <v>0</v>
      </c>
      <c r="V25" s="505">
        <v>2400</v>
      </c>
      <c r="W25" s="505">
        <v>0</v>
      </c>
      <c r="X25" s="523">
        <f t="shared" si="0"/>
        <v>72499</v>
      </c>
    </row>
    <row r="26" spans="1:24" ht="12" customHeight="1">
      <c r="A26" s="606" t="s">
        <v>662</v>
      </c>
      <c r="B26" s="504" t="s">
        <v>206</v>
      </c>
      <c r="C26" s="505">
        <v>19326</v>
      </c>
      <c r="D26" s="505">
        <v>14348</v>
      </c>
      <c r="E26" s="505">
        <v>3723</v>
      </c>
      <c r="F26" s="505">
        <v>0</v>
      </c>
      <c r="G26" s="505">
        <v>0</v>
      </c>
      <c r="H26" s="505">
        <v>0</v>
      </c>
      <c r="I26" s="505">
        <v>0</v>
      </c>
      <c r="J26" s="505">
        <v>0</v>
      </c>
      <c r="K26" s="505">
        <v>0</v>
      </c>
      <c r="L26" s="505"/>
      <c r="M26" s="505"/>
      <c r="N26" s="523">
        <f t="shared" si="1"/>
        <v>23049</v>
      </c>
      <c r="O26" s="606" t="s">
        <v>662</v>
      </c>
      <c r="P26" s="504" t="s">
        <v>206</v>
      </c>
      <c r="Q26" s="521">
        <v>165976</v>
      </c>
      <c r="R26" s="505">
        <v>43590</v>
      </c>
      <c r="S26" s="505">
        <f>71590-6</f>
        <v>71584</v>
      </c>
      <c r="T26" s="505">
        <v>31621</v>
      </c>
      <c r="U26" s="505">
        <v>3790</v>
      </c>
      <c r="V26" s="505">
        <v>0</v>
      </c>
      <c r="W26" s="505">
        <v>2400</v>
      </c>
      <c r="X26" s="523">
        <f t="shared" si="0"/>
        <v>287340</v>
      </c>
    </row>
    <row r="27" spans="1:24" ht="12" customHeight="1">
      <c r="A27" s="607"/>
      <c r="B27" s="504" t="s">
        <v>700</v>
      </c>
      <c r="C27" s="505">
        <v>19326</v>
      </c>
      <c r="D27" s="505">
        <v>14348</v>
      </c>
      <c r="E27" s="505">
        <v>3723</v>
      </c>
      <c r="F27" s="505">
        <v>0</v>
      </c>
      <c r="G27" s="505">
        <v>0</v>
      </c>
      <c r="H27" s="505">
        <v>0</v>
      </c>
      <c r="I27" s="505">
        <v>0</v>
      </c>
      <c r="J27" s="505">
        <v>0</v>
      </c>
      <c r="K27" s="505">
        <v>0</v>
      </c>
      <c r="L27" s="505">
        <v>2863</v>
      </c>
      <c r="M27" s="505"/>
      <c r="N27" s="523">
        <f t="shared" si="1"/>
        <v>25912</v>
      </c>
      <c r="O27" s="607"/>
      <c r="P27" s="504" t="s">
        <v>700</v>
      </c>
      <c r="Q27" s="521">
        <f>165976+7530+1102+420+119</f>
        <v>175147</v>
      </c>
      <c r="R27" s="505">
        <f>43590+2034+298+159+113+32</f>
        <v>46226</v>
      </c>
      <c r="S27" s="505">
        <f>71590-6+375+2291+39</f>
        <v>74289</v>
      </c>
      <c r="T27" s="505">
        <v>31621</v>
      </c>
      <c r="U27" s="505">
        <v>3790</v>
      </c>
      <c r="V27" s="505">
        <v>0</v>
      </c>
      <c r="W27" s="505">
        <v>2400</v>
      </c>
      <c r="X27" s="523">
        <f t="shared" si="0"/>
        <v>301852</v>
      </c>
    </row>
    <row r="28" spans="1:24" ht="12" customHeight="1">
      <c r="A28" s="606" t="s">
        <v>663</v>
      </c>
      <c r="B28" s="504" t="s">
        <v>206</v>
      </c>
      <c r="C28" s="505">
        <v>0</v>
      </c>
      <c r="D28" s="505">
        <v>0</v>
      </c>
      <c r="E28" s="505">
        <v>0</v>
      </c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>
        <v>0</v>
      </c>
      <c r="L28" s="505"/>
      <c r="M28" s="505"/>
      <c r="N28" s="523">
        <f>SUM(C28:M28)-D28</f>
        <v>0</v>
      </c>
      <c r="O28" s="606" t="s">
        <v>663</v>
      </c>
      <c r="P28" s="504" t="s">
        <v>206</v>
      </c>
      <c r="Q28" s="521">
        <v>20532</v>
      </c>
      <c r="R28" s="505">
        <v>5334</v>
      </c>
      <c r="S28" s="505">
        <f>2624-17</f>
        <v>2607</v>
      </c>
      <c r="T28" s="505">
        <v>0</v>
      </c>
      <c r="U28" s="505">
        <v>0</v>
      </c>
      <c r="V28" s="505">
        <v>0</v>
      </c>
      <c r="W28" s="505">
        <v>0</v>
      </c>
      <c r="X28" s="523">
        <f>SUM(Q28:W28)-T28</f>
        <v>28473</v>
      </c>
    </row>
    <row r="29" spans="1:24" ht="12" customHeight="1">
      <c r="A29" s="607"/>
      <c r="B29" s="504" t="s">
        <v>700</v>
      </c>
      <c r="C29" s="505">
        <v>0</v>
      </c>
      <c r="D29" s="505">
        <v>0</v>
      </c>
      <c r="E29" s="505">
        <v>0</v>
      </c>
      <c r="F29" s="505">
        <v>0</v>
      </c>
      <c r="G29" s="505">
        <v>0</v>
      </c>
      <c r="H29" s="505">
        <v>0</v>
      </c>
      <c r="I29" s="505">
        <v>0</v>
      </c>
      <c r="J29" s="505">
        <v>0</v>
      </c>
      <c r="K29" s="505">
        <v>0</v>
      </c>
      <c r="L29" s="505">
        <v>1731</v>
      </c>
      <c r="M29" s="505"/>
      <c r="N29" s="523">
        <f>SUM(C29:M29)-D29</f>
        <v>1731</v>
      </c>
      <c r="O29" s="607"/>
      <c r="P29" s="504" t="s">
        <v>700</v>
      </c>
      <c r="Q29" s="521">
        <f>20532+36</f>
        <v>20568</v>
      </c>
      <c r="R29" s="505">
        <f>5334+10</f>
        <v>5344</v>
      </c>
      <c r="S29" s="505">
        <f>2624-17+1135+550</f>
        <v>4292</v>
      </c>
      <c r="T29" s="505">
        <v>0</v>
      </c>
      <c r="U29" s="505">
        <v>0</v>
      </c>
      <c r="V29" s="505">
        <v>0</v>
      </c>
      <c r="W29" s="505">
        <v>0</v>
      </c>
      <c r="X29" s="523">
        <f>SUM(Q29:W29)-T29</f>
        <v>30204</v>
      </c>
    </row>
    <row r="30" spans="1:24" ht="12" customHeight="1">
      <c r="A30" s="606" t="s">
        <v>664</v>
      </c>
      <c r="B30" s="504" t="s">
        <v>206</v>
      </c>
      <c r="C30" s="505">
        <v>8021</v>
      </c>
      <c r="D30" s="505">
        <v>7351</v>
      </c>
      <c r="E30" s="505">
        <v>1963</v>
      </c>
      <c r="F30" s="505">
        <v>0</v>
      </c>
      <c r="G30" s="505">
        <v>0</v>
      </c>
      <c r="H30" s="505">
        <v>0</v>
      </c>
      <c r="I30" s="505">
        <v>0</v>
      </c>
      <c r="J30" s="505">
        <v>0</v>
      </c>
      <c r="K30" s="505">
        <v>0</v>
      </c>
      <c r="L30" s="505"/>
      <c r="M30" s="505"/>
      <c r="N30" s="523">
        <f t="shared" si="1"/>
        <v>9984</v>
      </c>
      <c r="O30" s="606" t="s">
        <v>664</v>
      </c>
      <c r="P30" s="504" t="s">
        <v>206</v>
      </c>
      <c r="Q30" s="521">
        <v>42695</v>
      </c>
      <c r="R30" s="505">
        <v>11251</v>
      </c>
      <c r="S30" s="505">
        <v>25598</v>
      </c>
      <c r="T30" s="505">
        <v>15195</v>
      </c>
      <c r="U30" s="505">
        <v>945</v>
      </c>
      <c r="V30" s="505">
        <v>0</v>
      </c>
      <c r="W30" s="505">
        <v>0</v>
      </c>
      <c r="X30" s="523">
        <f t="shared" si="0"/>
        <v>80489</v>
      </c>
    </row>
    <row r="31" spans="1:24" ht="12" customHeight="1">
      <c r="A31" s="607"/>
      <c r="B31" s="504" t="s">
        <v>700</v>
      </c>
      <c r="C31" s="505">
        <v>8021</v>
      </c>
      <c r="D31" s="505">
        <v>7351</v>
      </c>
      <c r="E31" s="505">
        <v>1963</v>
      </c>
      <c r="F31" s="505">
        <v>0</v>
      </c>
      <c r="G31" s="505">
        <v>0</v>
      </c>
      <c r="H31" s="505">
        <v>0</v>
      </c>
      <c r="I31" s="505">
        <v>0</v>
      </c>
      <c r="J31" s="505">
        <v>0</v>
      </c>
      <c r="K31" s="505">
        <v>0</v>
      </c>
      <c r="L31" s="505"/>
      <c r="M31" s="505"/>
      <c r="N31" s="523">
        <f t="shared" si="1"/>
        <v>9984</v>
      </c>
      <c r="O31" s="607"/>
      <c r="P31" s="504" t="s">
        <v>700</v>
      </c>
      <c r="Q31" s="521">
        <f>42695+1936+1030</f>
        <v>45661</v>
      </c>
      <c r="R31" s="505">
        <f>11251+523+278+41</f>
        <v>12093</v>
      </c>
      <c r="S31" s="505">
        <f>25598+225</f>
        <v>25823</v>
      </c>
      <c r="T31" s="505">
        <v>15195</v>
      </c>
      <c r="U31" s="505">
        <v>945</v>
      </c>
      <c r="V31" s="505">
        <v>750</v>
      </c>
      <c r="W31" s="505">
        <v>0</v>
      </c>
      <c r="X31" s="523">
        <f t="shared" si="0"/>
        <v>85272</v>
      </c>
    </row>
    <row r="32" spans="1:24" ht="12" customHeight="1">
      <c r="A32" s="606" t="s">
        <v>665</v>
      </c>
      <c r="B32" s="504" t="s">
        <v>206</v>
      </c>
      <c r="C32" s="505">
        <v>1966</v>
      </c>
      <c r="D32" s="505">
        <v>1966</v>
      </c>
      <c r="E32" s="505">
        <v>492</v>
      </c>
      <c r="F32" s="505">
        <v>0</v>
      </c>
      <c r="G32" s="505">
        <v>0</v>
      </c>
      <c r="H32" s="505">
        <v>0</v>
      </c>
      <c r="I32" s="505">
        <v>0</v>
      </c>
      <c r="J32" s="505">
        <v>0</v>
      </c>
      <c r="K32" s="505">
        <v>0</v>
      </c>
      <c r="L32" s="505"/>
      <c r="M32" s="505"/>
      <c r="N32" s="523">
        <f>SUM(C32:M32)-D32</f>
        <v>2458</v>
      </c>
      <c r="O32" s="606" t="s">
        <v>665</v>
      </c>
      <c r="P32" s="504" t="s">
        <v>206</v>
      </c>
      <c r="Q32" s="521">
        <v>33490</v>
      </c>
      <c r="R32" s="505">
        <v>8793</v>
      </c>
      <c r="S32" s="505">
        <v>12562</v>
      </c>
      <c r="T32" s="505">
        <v>4230</v>
      </c>
      <c r="U32" s="505">
        <v>637</v>
      </c>
      <c r="V32" s="505">
        <v>0</v>
      </c>
      <c r="W32" s="505">
        <v>0</v>
      </c>
      <c r="X32" s="523">
        <f>SUM(Q32:W32)-T32</f>
        <v>55482</v>
      </c>
    </row>
    <row r="33" spans="1:24" ht="12" customHeight="1">
      <c r="A33" s="607"/>
      <c r="B33" s="504" t="s">
        <v>700</v>
      </c>
      <c r="C33" s="505">
        <v>1966</v>
      </c>
      <c r="D33" s="505">
        <v>1966</v>
      </c>
      <c r="E33" s="505">
        <v>492</v>
      </c>
      <c r="F33" s="505">
        <v>0</v>
      </c>
      <c r="G33" s="505">
        <v>0</v>
      </c>
      <c r="H33" s="505">
        <v>0</v>
      </c>
      <c r="I33" s="505">
        <v>0</v>
      </c>
      <c r="J33" s="505">
        <v>0</v>
      </c>
      <c r="K33" s="505">
        <v>0</v>
      </c>
      <c r="L33" s="505">
        <v>102</v>
      </c>
      <c r="M33" s="505"/>
      <c r="N33" s="523">
        <f>SUM(C33:M33)-D33</f>
        <v>2560</v>
      </c>
      <c r="O33" s="607"/>
      <c r="P33" s="504" t="s">
        <v>700</v>
      </c>
      <c r="Q33" s="521">
        <f>33490+1291+72</f>
        <v>34853</v>
      </c>
      <c r="R33" s="505">
        <f>8793+348+27+19</f>
        <v>9187</v>
      </c>
      <c r="S33" s="505">
        <f>12562+11</f>
        <v>12573</v>
      </c>
      <c r="T33" s="505">
        <v>4230</v>
      </c>
      <c r="U33" s="505">
        <v>637</v>
      </c>
      <c r="V33" s="505">
        <v>0</v>
      </c>
      <c r="W33" s="505">
        <v>0</v>
      </c>
      <c r="X33" s="523">
        <f>SUM(Q33:W33)-T33</f>
        <v>57250</v>
      </c>
    </row>
    <row r="34" spans="1:24" s="308" customFormat="1" ht="12" customHeight="1">
      <c r="A34" s="615" t="s">
        <v>666</v>
      </c>
      <c r="B34" s="507" t="s">
        <v>206</v>
      </c>
      <c r="C34" s="506">
        <f>+C26+C28+C30+C32</f>
        <v>29313</v>
      </c>
      <c r="D34" s="506">
        <f aca="true" t="shared" si="2" ref="D34:X35">+D26+D28+D30+D32</f>
        <v>23665</v>
      </c>
      <c r="E34" s="506">
        <f t="shared" si="2"/>
        <v>6178</v>
      </c>
      <c r="F34" s="506">
        <f t="shared" si="2"/>
        <v>0</v>
      </c>
      <c r="G34" s="506">
        <f t="shared" si="2"/>
        <v>0</v>
      </c>
      <c r="H34" s="506">
        <f t="shared" si="2"/>
        <v>0</v>
      </c>
      <c r="I34" s="506">
        <f t="shared" si="2"/>
        <v>0</v>
      </c>
      <c r="J34" s="506">
        <f t="shared" si="2"/>
        <v>0</v>
      </c>
      <c r="K34" s="506">
        <f t="shared" si="2"/>
        <v>0</v>
      </c>
      <c r="L34" s="506">
        <f t="shared" si="2"/>
        <v>0</v>
      </c>
      <c r="M34" s="506">
        <f t="shared" si="2"/>
        <v>0</v>
      </c>
      <c r="N34" s="523">
        <f>+N26+N28+N30+N32</f>
        <v>35491</v>
      </c>
      <c r="O34" s="615" t="s">
        <v>666</v>
      </c>
      <c r="P34" s="507" t="s">
        <v>206</v>
      </c>
      <c r="Q34" s="522">
        <f t="shared" si="2"/>
        <v>262693</v>
      </c>
      <c r="R34" s="506">
        <f t="shared" si="2"/>
        <v>68968</v>
      </c>
      <c r="S34" s="506">
        <f t="shared" si="2"/>
        <v>112351</v>
      </c>
      <c r="T34" s="506">
        <f t="shared" si="2"/>
        <v>51046</v>
      </c>
      <c r="U34" s="506">
        <f t="shared" si="2"/>
        <v>5372</v>
      </c>
      <c r="V34" s="506">
        <f t="shared" si="2"/>
        <v>0</v>
      </c>
      <c r="W34" s="506">
        <f t="shared" si="2"/>
        <v>2400</v>
      </c>
      <c r="X34" s="523">
        <f t="shared" si="2"/>
        <v>451784</v>
      </c>
    </row>
    <row r="35" spans="1:24" s="308" customFormat="1" ht="12" customHeight="1">
      <c r="A35" s="616"/>
      <c r="B35" s="508" t="s">
        <v>700</v>
      </c>
      <c r="C35" s="506">
        <f>+C27+C29+C31+C33</f>
        <v>29313</v>
      </c>
      <c r="D35" s="506">
        <f t="shared" si="2"/>
        <v>23665</v>
      </c>
      <c r="E35" s="506">
        <f t="shared" si="2"/>
        <v>6178</v>
      </c>
      <c r="F35" s="506">
        <f t="shared" si="2"/>
        <v>0</v>
      </c>
      <c r="G35" s="506">
        <f t="shared" si="2"/>
        <v>0</v>
      </c>
      <c r="H35" s="506">
        <f t="shared" si="2"/>
        <v>0</v>
      </c>
      <c r="I35" s="506">
        <f t="shared" si="2"/>
        <v>0</v>
      </c>
      <c r="J35" s="506">
        <f t="shared" si="2"/>
        <v>0</v>
      </c>
      <c r="K35" s="506">
        <f t="shared" si="2"/>
        <v>0</v>
      </c>
      <c r="L35" s="506">
        <f t="shared" si="2"/>
        <v>4696</v>
      </c>
      <c r="M35" s="506">
        <f t="shared" si="2"/>
        <v>0</v>
      </c>
      <c r="N35" s="523">
        <f t="shared" si="2"/>
        <v>40187</v>
      </c>
      <c r="O35" s="616"/>
      <c r="P35" s="508" t="s">
        <v>700</v>
      </c>
      <c r="Q35" s="522">
        <f t="shared" si="2"/>
        <v>276229</v>
      </c>
      <c r="R35" s="506">
        <f t="shared" si="2"/>
        <v>72850</v>
      </c>
      <c r="S35" s="506">
        <f t="shared" si="2"/>
        <v>116977</v>
      </c>
      <c r="T35" s="506">
        <f t="shared" si="2"/>
        <v>51046</v>
      </c>
      <c r="U35" s="506">
        <f t="shared" si="2"/>
        <v>5372</v>
      </c>
      <c r="V35" s="506">
        <f t="shared" si="2"/>
        <v>750</v>
      </c>
      <c r="W35" s="506">
        <f t="shared" si="2"/>
        <v>2400</v>
      </c>
      <c r="X35" s="523">
        <f t="shared" si="2"/>
        <v>474578</v>
      </c>
    </row>
    <row r="36" spans="1:24" ht="12" customHeight="1">
      <c r="A36" s="614" t="s">
        <v>89</v>
      </c>
      <c r="B36" s="526" t="s">
        <v>206</v>
      </c>
      <c r="C36" s="527">
        <v>21426</v>
      </c>
      <c r="D36" s="527">
        <v>18326</v>
      </c>
      <c r="E36" s="527">
        <v>4781</v>
      </c>
      <c r="F36" s="527">
        <v>0</v>
      </c>
      <c r="G36" s="527">
        <v>0</v>
      </c>
      <c r="H36" s="527">
        <v>0</v>
      </c>
      <c r="I36" s="527">
        <v>0</v>
      </c>
      <c r="J36" s="527">
        <v>0</v>
      </c>
      <c r="K36" s="527">
        <v>0</v>
      </c>
      <c r="L36" s="527"/>
      <c r="M36" s="527"/>
      <c r="N36" s="528">
        <f t="shared" si="1"/>
        <v>26207</v>
      </c>
      <c r="O36" s="614" t="s">
        <v>89</v>
      </c>
      <c r="P36" s="526" t="s">
        <v>206</v>
      </c>
      <c r="Q36" s="521">
        <f>145073-24</f>
        <v>145049</v>
      </c>
      <c r="R36" s="505">
        <v>38130</v>
      </c>
      <c r="S36" s="505">
        <f>78288-6</f>
        <v>78282</v>
      </c>
      <c r="T36" s="505">
        <v>38096</v>
      </c>
      <c r="U36" s="505">
        <v>2720</v>
      </c>
      <c r="V36" s="505">
        <v>0</v>
      </c>
      <c r="W36" s="505">
        <v>8250</v>
      </c>
      <c r="X36" s="523">
        <f t="shared" si="0"/>
        <v>272431</v>
      </c>
    </row>
    <row r="37" spans="1:24" ht="12" customHeight="1">
      <c r="A37" s="607"/>
      <c r="B37" s="504" t="s">
        <v>700</v>
      </c>
      <c r="C37" s="505">
        <v>21426</v>
      </c>
      <c r="D37" s="505">
        <v>18326</v>
      </c>
      <c r="E37" s="505">
        <v>4781</v>
      </c>
      <c r="F37" s="505">
        <v>0</v>
      </c>
      <c r="G37" s="505">
        <v>0</v>
      </c>
      <c r="H37" s="505">
        <v>0</v>
      </c>
      <c r="I37" s="505">
        <v>0</v>
      </c>
      <c r="J37" s="505">
        <v>0</v>
      </c>
      <c r="K37" s="505">
        <v>0</v>
      </c>
      <c r="L37" s="505">
        <v>328</v>
      </c>
      <c r="M37" s="505"/>
      <c r="N37" s="523">
        <f t="shared" si="1"/>
        <v>26535</v>
      </c>
      <c r="O37" s="607"/>
      <c r="P37" s="504" t="s">
        <v>700</v>
      </c>
      <c r="Q37" s="521">
        <f>145073-24+5709+121+100</f>
        <v>150979</v>
      </c>
      <c r="R37" s="505">
        <f>38130+1542+115+33+27</f>
        <v>39847</v>
      </c>
      <c r="S37" s="505">
        <f>78288-6+720+174</f>
        <v>79176</v>
      </c>
      <c r="T37" s="505">
        <v>38096</v>
      </c>
      <c r="U37" s="505">
        <v>2720</v>
      </c>
      <c r="V37" s="505">
        <v>0</v>
      </c>
      <c r="W37" s="505">
        <v>8250</v>
      </c>
      <c r="X37" s="523">
        <f t="shared" si="0"/>
        <v>280972</v>
      </c>
    </row>
    <row r="38" spans="1:24" ht="12" customHeight="1">
      <c r="A38" s="606" t="s">
        <v>667</v>
      </c>
      <c r="B38" s="504" t="s">
        <v>206</v>
      </c>
      <c r="C38" s="505">
        <v>4902</v>
      </c>
      <c r="D38" s="505">
        <v>4232</v>
      </c>
      <c r="E38" s="505">
        <v>1168</v>
      </c>
      <c r="F38" s="505">
        <v>0</v>
      </c>
      <c r="G38" s="505">
        <v>0</v>
      </c>
      <c r="H38" s="505">
        <v>0</v>
      </c>
      <c r="I38" s="505">
        <v>0</v>
      </c>
      <c r="J38" s="505">
        <v>0</v>
      </c>
      <c r="K38" s="505">
        <v>0</v>
      </c>
      <c r="L38" s="505"/>
      <c r="M38" s="505"/>
      <c r="N38" s="523">
        <f>SUM(C38:M38)-D38</f>
        <v>6070</v>
      </c>
      <c r="O38" s="606" t="s">
        <v>667</v>
      </c>
      <c r="P38" s="504" t="s">
        <v>206</v>
      </c>
      <c r="Q38" s="521">
        <v>51036</v>
      </c>
      <c r="R38" s="505">
        <v>13344</v>
      </c>
      <c r="S38" s="505">
        <v>26953</v>
      </c>
      <c r="T38" s="505">
        <v>12061</v>
      </c>
      <c r="U38" s="505">
        <v>1286</v>
      </c>
      <c r="V38" s="505">
        <v>0</v>
      </c>
      <c r="W38" s="505">
        <v>0</v>
      </c>
      <c r="X38" s="523">
        <f>SUM(Q38:W38)-T38</f>
        <v>92619</v>
      </c>
    </row>
    <row r="39" spans="1:24" ht="12" customHeight="1">
      <c r="A39" s="607"/>
      <c r="B39" s="504" t="s">
        <v>700</v>
      </c>
      <c r="C39" s="505">
        <v>4902</v>
      </c>
      <c r="D39" s="505">
        <v>4232</v>
      </c>
      <c r="E39" s="505">
        <v>1168</v>
      </c>
      <c r="F39" s="505">
        <v>0</v>
      </c>
      <c r="G39" s="505">
        <v>0</v>
      </c>
      <c r="H39" s="505">
        <v>0</v>
      </c>
      <c r="I39" s="505">
        <v>0</v>
      </c>
      <c r="J39" s="505">
        <v>0</v>
      </c>
      <c r="K39" s="505">
        <v>0</v>
      </c>
      <c r="L39" s="505">
        <v>244</v>
      </c>
      <c r="M39" s="505"/>
      <c r="N39" s="523">
        <f>SUM(C39:M39)-D39</f>
        <v>6314</v>
      </c>
      <c r="O39" s="607"/>
      <c r="P39" s="504" t="s">
        <v>700</v>
      </c>
      <c r="Q39" s="521">
        <f>51036+2079+240</f>
        <v>53355</v>
      </c>
      <c r="R39" s="505">
        <f>13344+561+42</f>
        <v>13947</v>
      </c>
      <c r="S39" s="505">
        <f>26953+50+4</f>
        <v>27007</v>
      </c>
      <c r="T39" s="505">
        <v>12061</v>
      </c>
      <c r="U39" s="505">
        <v>1286</v>
      </c>
      <c r="V39" s="505">
        <v>0</v>
      </c>
      <c r="W39" s="505">
        <v>0</v>
      </c>
      <c r="X39" s="523">
        <f>SUM(Q39:W39)-T39</f>
        <v>95595</v>
      </c>
    </row>
    <row r="40" spans="1:24" s="308" customFormat="1" ht="12" customHeight="1">
      <c r="A40" s="615" t="s">
        <v>668</v>
      </c>
      <c r="B40" s="508" t="s">
        <v>206</v>
      </c>
      <c r="C40" s="506">
        <f>+C36+C38</f>
        <v>26328</v>
      </c>
      <c r="D40" s="506">
        <f aca="true" t="shared" si="3" ref="D40:X41">+D36+D38</f>
        <v>22558</v>
      </c>
      <c r="E40" s="506">
        <f t="shared" si="3"/>
        <v>5949</v>
      </c>
      <c r="F40" s="506">
        <f t="shared" si="3"/>
        <v>0</v>
      </c>
      <c r="G40" s="506">
        <f t="shared" si="3"/>
        <v>0</v>
      </c>
      <c r="H40" s="506">
        <f t="shared" si="3"/>
        <v>0</v>
      </c>
      <c r="I40" s="506">
        <f t="shared" si="3"/>
        <v>0</v>
      </c>
      <c r="J40" s="506">
        <f t="shared" si="3"/>
        <v>0</v>
      </c>
      <c r="K40" s="506">
        <f t="shared" si="3"/>
        <v>0</v>
      </c>
      <c r="L40" s="506">
        <f t="shared" si="3"/>
        <v>0</v>
      </c>
      <c r="M40" s="506">
        <f t="shared" si="3"/>
        <v>0</v>
      </c>
      <c r="N40" s="523">
        <f t="shared" si="3"/>
        <v>32277</v>
      </c>
      <c r="O40" s="615" t="s">
        <v>668</v>
      </c>
      <c r="P40" s="508" t="s">
        <v>206</v>
      </c>
      <c r="Q40" s="522">
        <f t="shared" si="3"/>
        <v>196085</v>
      </c>
      <c r="R40" s="506">
        <f t="shared" si="3"/>
        <v>51474</v>
      </c>
      <c r="S40" s="506">
        <f t="shared" si="3"/>
        <v>105235</v>
      </c>
      <c r="T40" s="506">
        <f t="shared" si="3"/>
        <v>50157</v>
      </c>
      <c r="U40" s="506">
        <f t="shared" si="3"/>
        <v>4006</v>
      </c>
      <c r="V40" s="506">
        <f t="shared" si="3"/>
        <v>0</v>
      </c>
      <c r="W40" s="506">
        <f t="shared" si="3"/>
        <v>8250</v>
      </c>
      <c r="X40" s="523">
        <f t="shared" si="3"/>
        <v>365050</v>
      </c>
    </row>
    <row r="41" spans="1:24" s="308" customFormat="1" ht="12" customHeight="1">
      <c r="A41" s="616"/>
      <c r="B41" s="508" t="s">
        <v>700</v>
      </c>
      <c r="C41" s="506">
        <f>+C37+C39</f>
        <v>26328</v>
      </c>
      <c r="D41" s="506">
        <f t="shared" si="3"/>
        <v>22558</v>
      </c>
      <c r="E41" s="506">
        <f t="shared" si="3"/>
        <v>5949</v>
      </c>
      <c r="F41" s="506">
        <f t="shared" si="3"/>
        <v>0</v>
      </c>
      <c r="G41" s="506">
        <f t="shared" si="3"/>
        <v>0</v>
      </c>
      <c r="H41" s="506">
        <f t="shared" si="3"/>
        <v>0</v>
      </c>
      <c r="I41" s="506">
        <f t="shared" si="3"/>
        <v>0</v>
      </c>
      <c r="J41" s="506">
        <f t="shared" si="3"/>
        <v>0</v>
      </c>
      <c r="K41" s="506">
        <f t="shared" si="3"/>
        <v>0</v>
      </c>
      <c r="L41" s="506">
        <f t="shared" si="3"/>
        <v>572</v>
      </c>
      <c r="M41" s="506">
        <f t="shared" si="3"/>
        <v>0</v>
      </c>
      <c r="N41" s="523">
        <f t="shared" si="3"/>
        <v>32849</v>
      </c>
      <c r="O41" s="616"/>
      <c r="P41" s="508" t="s">
        <v>700</v>
      </c>
      <c r="Q41" s="522">
        <f t="shared" si="3"/>
        <v>204334</v>
      </c>
      <c r="R41" s="506">
        <f t="shared" si="3"/>
        <v>53794</v>
      </c>
      <c r="S41" s="506">
        <f t="shared" si="3"/>
        <v>106183</v>
      </c>
      <c r="T41" s="506">
        <f t="shared" si="3"/>
        <v>50157</v>
      </c>
      <c r="U41" s="506">
        <f t="shared" si="3"/>
        <v>4006</v>
      </c>
      <c r="V41" s="506">
        <f t="shared" si="3"/>
        <v>0</v>
      </c>
      <c r="W41" s="506">
        <f t="shared" si="3"/>
        <v>8250</v>
      </c>
      <c r="X41" s="523">
        <f t="shared" si="3"/>
        <v>376567</v>
      </c>
    </row>
    <row r="42" spans="1:24" ht="12" customHeight="1">
      <c r="A42" s="606" t="s">
        <v>669</v>
      </c>
      <c r="B42" s="504" t="s">
        <v>206</v>
      </c>
      <c r="C42" s="505">
        <v>4400</v>
      </c>
      <c r="D42" s="505"/>
      <c r="E42" s="505">
        <v>0</v>
      </c>
      <c r="F42" s="505">
        <v>0</v>
      </c>
      <c r="G42" s="505">
        <v>0</v>
      </c>
      <c r="H42" s="505">
        <v>0</v>
      </c>
      <c r="I42" s="505">
        <v>0</v>
      </c>
      <c r="J42" s="505">
        <v>0</v>
      </c>
      <c r="K42" s="505">
        <v>0</v>
      </c>
      <c r="L42" s="505"/>
      <c r="M42" s="505"/>
      <c r="N42" s="523">
        <f t="shared" si="1"/>
        <v>4400</v>
      </c>
      <c r="O42" s="606" t="s">
        <v>669</v>
      </c>
      <c r="P42" s="504" t="s">
        <v>206</v>
      </c>
      <c r="Q42" s="521">
        <v>48040</v>
      </c>
      <c r="R42" s="505">
        <v>10365</v>
      </c>
      <c r="S42" s="505">
        <v>6343</v>
      </c>
      <c r="T42" s="505">
        <v>0</v>
      </c>
      <c r="U42" s="505">
        <v>0</v>
      </c>
      <c r="V42" s="505">
        <v>0</v>
      </c>
      <c r="W42" s="505">
        <v>0</v>
      </c>
      <c r="X42" s="523">
        <f t="shared" si="0"/>
        <v>64748</v>
      </c>
    </row>
    <row r="43" spans="1:24" ht="12" customHeight="1">
      <c r="A43" s="607"/>
      <c r="B43" s="504" t="s">
        <v>700</v>
      </c>
      <c r="C43" s="505">
        <v>4400</v>
      </c>
      <c r="D43" s="505"/>
      <c r="E43" s="505">
        <v>0</v>
      </c>
      <c r="F43" s="505">
        <v>0</v>
      </c>
      <c r="G43" s="505">
        <v>0</v>
      </c>
      <c r="H43" s="505">
        <v>0</v>
      </c>
      <c r="I43" s="505">
        <v>0</v>
      </c>
      <c r="J43" s="505">
        <v>0</v>
      </c>
      <c r="K43" s="505">
        <v>0</v>
      </c>
      <c r="L43" s="505">
        <v>107</v>
      </c>
      <c r="M43" s="505"/>
      <c r="N43" s="523">
        <f t="shared" si="1"/>
        <v>4507</v>
      </c>
      <c r="O43" s="607"/>
      <c r="P43" s="504" t="s">
        <v>700</v>
      </c>
      <c r="Q43" s="521">
        <f>48040+2109+84</f>
        <v>50233</v>
      </c>
      <c r="R43" s="505">
        <f>10365+570+2176+27+23</f>
        <v>13161</v>
      </c>
      <c r="S43" s="505">
        <f>6343+170</f>
        <v>6513</v>
      </c>
      <c r="T43" s="505">
        <v>0</v>
      </c>
      <c r="U43" s="505">
        <v>0</v>
      </c>
      <c r="V43" s="505">
        <v>0</v>
      </c>
      <c r="W43" s="505">
        <v>0</v>
      </c>
      <c r="X43" s="523">
        <f t="shared" si="0"/>
        <v>69907</v>
      </c>
    </row>
    <row r="44" spans="1:24" ht="12" customHeight="1">
      <c r="A44" s="606" t="s">
        <v>670</v>
      </c>
      <c r="B44" s="504" t="s">
        <v>206</v>
      </c>
      <c r="C44" s="505">
        <v>1130</v>
      </c>
      <c r="D44" s="505"/>
      <c r="E44" s="505">
        <v>283</v>
      </c>
      <c r="F44" s="505">
        <v>0</v>
      </c>
      <c r="G44" s="505">
        <v>0</v>
      </c>
      <c r="H44" s="505">
        <v>0</v>
      </c>
      <c r="I44" s="505">
        <v>0</v>
      </c>
      <c r="J44" s="505">
        <v>0</v>
      </c>
      <c r="K44" s="505">
        <v>0</v>
      </c>
      <c r="L44" s="505"/>
      <c r="M44" s="505"/>
      <c r="N44" s="523">
        <f t="shared" si="1"/>
        <v>1413</v>
      </c>
      <c r="O44" s="606" t="s">
        <v>670</v>
      </c>
      <c r="P44" s="504" t="s">
        <v>206</v>
      </c>
      <c r="Q44" s="521">
        <f>20063-72</f>
        <v>19991</v>
      </c>
      <c r="R44" s="505">
        <v>5196</v>
      </c>
      <c r="S44" s="505">
        <f>18144-18</f>
        <v>18126</v>
      </c>
      <c r="T44" s="505">
        <v>0</v>
      </c>
      <c r="U44" s="505">
        <v>0</v>
      </c>
      <c r="V44" s="505">
        <v>0</v>
      </c>
      <c r="W44" s="505">
        <v>0</v>
      </c>
      <c r="X44" s="523">
        <f t="shared" si="0"/>
        <v>43313</v>
      </c>
    </row>
    <row r="45" spans="1:24" ht="12" customHeight="1">
      <c r="A45" s="607"/>
      <c r="B45" s="504" t="s">
        <v>700</v>
      </c>
      <c r="C45" s="505">
        <f>1130+1352</f>
        <v>2482</v>
      </c>
      <c r="D45" s="505"/>
      <c r="E45" s="505">
        <v>283</v>
      </c>
      <c r="F45" s="505">
        <v>0</v>
      </c>
      <c r="G45" s="505">
        <v>0</v>
      </c>
      <c r="H45" s="505">
        <v>0</v>
      </c>
      <c r="I45" s="505">
        <v>0</v>
      </c>
      <c r="J45" s="505">
        <v>1600</v>
      </c>
      <c r="K45" s="505">
        <v>0</v>
      </c>
      <c r="L45" s="505">
        <v>1118</v>
      </c>
      <c r="M45" s="505"/>
      <c r="N45" s="523">
        <f t="shared" si="1"/>
        <v>5483</v>
      </c>
      <c r="O45" s="607"/>
      <c r="P45" s="504" t="s">
        <v>700</v>
      </c>
      <c r="Q45" s="521">
        <f>20063-72+976+8+40</f>
        <v>21015</v>
      </c>
      <c r="R45" s="505">
        <f>5196+264+19+2+11</f>
        <v>5492</v>
      </c>
      <c r="S45" s="505">
        <f>18144-18+535+573</f>
        <v>19234</v>
      </c>
      <c r="T45" s="505">
        <v>0</v>
      </c>
      <c r="U45" s="505">
        <v>0</v>
      </c>
      <c r="V45" s="505">
        <f>1600+1352</f>
        <v>2952</v>
      </c>
      <c r="W45" s="505">
        <v>0</v>
      </c>
      <c r="X45" s="523">
        <f t="shared" si="0"/>
        <v>48693</v>
      </c>
    </row>
    <row r="46" spans="1:24" ht="12" customHeight="1">
      <c r="A46" s="606" t="s">
        <v>671</v>
      </c>
      <c r="B46" s="504" t="s">
        <v>206</v>
      </c>
      <c r="C46" s="505">
        <v>9526</v>
      </c>
      <c r="D46" s="505"/>
      <c r="E46" s="505">
        <v>264</v>
      </c>
      <c r="F46" s="505">
        <v>0</v>
      </c>
      <c r="G46" s="505">
        <v>0</v>
      </c>
      <c r="H46" s="505">
        <v>0</v>
      </c>
      <c r="I46" s="505">
        <v>0</v>
      </c>
      <c r="J46" s="505">
        <v>0</v>
      </c>
      <c r="K46" s="505">
        <v>0</v>
      </c>
      <c r="L46" s="505"/>
      <c r="M46" s="505"/>
      <c r="N46" s="523">
        <f t="shared" si="1"/>
        <v>9790</v>
      </c>
      <c r="O46" s="606" t="s">
        <v>671</v>
      </c>
      <c r="P46" s="504" t="s">
        <v>206</v>
      </c>
      <c r="Q46" s="521">
        <f>95657-72</f>
        <v>95585</v>
      </c>
      <c r="R46" s="505">
        <v>24329</v>
      </c>
      <c r="S46" s="505">
        <f>36646-18</f>
        <v>36628</v>
      </c>
      <c r="T46" s="505">
        <v>10945</v>
      </c>
      <c r="U46" s="505">
        <v>0</v>
      </c>
      <c r="V46" s="505">
        <v>0</v>
      </c>
      <c r="W46" s="505">
        <v>0</v>
      </c>
      <c r="X46" s="523">
        <f t="shared" si="0"/>
        <v>156542</v>
      </c>
    </row>
    <row r="47" spans="1:24" ht="12" customHeight="1">
      <c r="A47" s="607"/>
      <c r="B47" s="504" t="s">
        <v>700</v>
      </c>
      <c r="C47" s="505">
        <v>9526</v>
      </c>
      <c r="D47" s="505"/>
      <c r="E47" s="505">
        <v>264</v>
      </c>
      <c r="F47" s="505">
        <v>0</v>
      </c>
      <c r="G47" s="505">
        <v>0</v>
      </c>
      <c r="H47" s="505">
        <v>0</v>
      </c>
      <c r="I47" s="505">
        <v>0</v>
      </c>
      <c r="J47" s="505">
        <v>0</v>
      </c>
      <c r="K47" s="505">
        <v>0</v>
      </c>
      <c r="L47" s="505">
        <v>2375</v>
      </c>
      <c r="M47" s="505"/>
      <c r="N47" s="523">
        <f t="shared" si="1"/>
        <v>12165</v>
      </c>
      <c r="O47" s="607"/>
      <c r="P47" s="504" t="s">
        <v>700</v>
      </c>
      <c r="Q47" s="521">
        <f>95657-72+5237+500+176+357+886</f>
        <v>102741</v>
      </c>
      <c r="R47" s="505">
        <f>24329+1414+135+103+47+96+239</f>
        <v>26363</v>
      </c>
      <c r="S47" s="505">
        <f>36646-18+610+656+793</f>
        <v>38687</v>
      </c>
      <c r="T47" s="505">
        <v>10945</v>
      </c>
      <c r="U47" s="505">
        <v>0</v>
      </c>
      <c r="V47" s="505">
        <v>250</v>
      </c>
      <c r="W47" s="505">
        <v>0</v>
      </c>
      <c r="X47" s="523">
        <f t="shared" si="0"/>
        <v>168041</v>
      </c>
    </row>
    <row r="48" spans="1:25" ht="12" customHeight="1">
      <c r="A48" s="606" t="s">
        <v>216</v>
      </c>
      <c r="B48" s="504" t="s">
        <v>206</v>
      </c>
      <c r="C48" s="505">
        <v>666</v>
      </c>
      <c r="D48" s="505"/>
      <c r="E48" s="505">
        <v>3831</v>
      </c>
      <c r="F48" s="505">
        <v>0</v>
      </c>
      <c r="G48" s="505">
        <v>0</v>
      </c>
      <c r="H48" s="505">
        <v>0</v>
      </c>
      <c r="I48" s="505">
        <v>0</v>
      </c>
      <c r="J48" s="505">
        <v>0</v>
      </c>
      <c r="K48" s="505">
        <v>0</v>
      </c>
      <c r="L48" s="505"/>
      <c r="M48" s="505"/>
      <c r="N48" s="523">
        <f t="shared" si="1"/>
        <v>4497</v>
      </c>
      <c r="O48" s="606" t="s">
        <v>216</v>
      </c>
      <c r="P48" s="504" t="s">
        <v>206</v>
      </c>
      <c r="Q48" s="521">
        <v>18209</v>
      </c>
      <c r="R48" s="505">
        <v>4753</v>
      </c>
      <c r="S48" s="505">
        <v>8483</v>
      </c>
      <c r="T48" s="505">
        <v>0</v>
      </c>
      <c r="U48" s="505">
        <v>0</v>
      </c>
      <c r="V48" s="505">
        <v>0</v>
      </c>
      <c r="W48" s="505">
        <v>0</v>
      </c>
      <c r="X48" s="523">
        <f t="shared" si="0"/>
        <v>31445</v>
      </c>
      <c r="Y48" s="509"/>
    </row>
    <row r="49" spans="1:25" ht="12" customHeight="1">
      <c r="A49" s="607"/>
      <c r="B49" s="504" t="s">
        <v>700</v>
      </c>
      <c r="C49" s="505">
        <v>666</v>
      </c>
      <c r="D49" s="505"/>
      <c r="E49" s="505">
        <f>3831-667</f>
        <v>3164</v>
      </c>
      <c r="F49" s="505"/>
      <c r="G49" s="505"/>
      <c r="H49" s="505"/>
      <c r="I49" s="505"/>
      <c r="J49" s="505"/>
      <c r="K49" s="505"/>
      <c r="L49" s="505">
        <v>1258</v>
      </c>
      <c r="M49" s="505"/>
      <c r="N49" s="523">
        <f t="shared" si="1"/>
        <v>5088</v>
      </c>
      <c r="O49" s="607"/>
      <c r="P49" s="504" t="s">
        <v>700</v>
      </c>
      <c r="Q49" s="521">
        <f>18209+975+676</f>
        <v>19860</v>
      </c>
      <c r="R49" s="505">
        <f>4753+263+20+183</f>
        <v>5219</v>
      </c>
      <c r="S49" s="505">
        <f>8483+399</f>
        <v>8882</v>
      </c>
      <c r="T49" s="505">
        <v>0</v>
      </c>
      <c r="U49" s="505">
        <v>0</v>
      </c>
      <c r="V49" s="505">
        <v>0</v>
      </c>
      <c r="W49" s="505">
        <v>0</v>
      </c>
      <c r="X49" s="523">
        <f t="shared" si="0"/>
        <v>33961</v>
      </c>
      <c r="Y49" s="509"/>
    </row>
    <row r="50" spans="1:25" s="308" customFormat="1" ht="12" customHeight="1">
      <c r="A50" s="612" t="s">
        <v>672</v>
      </c>
      <c r="B50" s="508" t="s">
        <v>206</v>
      </c>
      <c r="C50" s="506">
        <f aca="true" t="shared" si="4" ref="C50:N50">+C6+C8+C10+C12+C14+C16+C18+C20+C22+C24+C26+C28+C30+C32+C36+C38+C42+C44+C46+C48</f>
        <v>107829</v>
      </c>
      <c r="D50" s="506">
        <f t="shared" si="4"/>
        <v>73784</v>
      </c>
      <c r="E50" s="506">
        <f t="shared" si="4"/>
        <v>25621</v>
      </c>
      <c r="F50" s="506">
        <f t="shared" si="4"/>
        <v>0</v>
      </c>
      <c r="G50" s="506">
        <f t="shared" si="4"/>
        <v>0</v>
      </c>
      <c r="H50" s="506">
        <f t="shared" si="4"/>
        <v>0</v>
      </c>
      <c r="I50" s="506">
        <f t="shared" si="4"/>
        <v>0</v>
      </c>
      <c r="J50" s="506">
        <f t="shared" si="4"/>
        <v>0</v>
      </c>
      <c r="K50" s="506">
        <f t="shared" si="4"/>
        <v>0</v>
      </c>
      <c r="L50" s="506">
        <f t="shared" si="4"/>
        <v>0</v>
      </c>
      <c r="M50" s="506">
        <f t="shared" si="4"/>
        <v>0</v>
      </c>
      <c r="N50" s="523">
        <f t="shared" si="4"/>
        <v>133450</v>
      </c>
      <c r="O50" s="612" t="s">
        <v>672</v>
      </c>
      <c r="P50" s="508" t="s">
        <v>206</v>
      </c>
      <c r="Q50" s="522">
        <f aca="true" t="shared" si="5" ref="Q50:X51">+Q6+Q8+Q10+Q12+Q14+Q16+Q18+Q20+Q22+Q24+Q26+Q28+Q30+Q32+Q36+Q38+Q42+Q44+Q46+Q48</f>
        <v>880615</v>
      </c>
      <c r="R50" s="506">
        <f t="shared" si="5"/>
        <v>227281</v>
      </c>
      <c r="S50" s="506">
        <f t="shared" si="5"/>
        <v>390034</v>
      </c>
      <c r="T50" s="506">
        <f t="shared" si="5"/>
        <v>146692</v>
      </c>
      <c r="U50" s="506">
        <f t="shared" si="5"/>
        <v>9378</v>
      </c>
      <c r="V50" s="506">
        <f t="shared" si="5"/>
        <v>2400</v>
      </c>
      <c r="W50" s="506">
        <f t="shared" si="5"/>
        <v>17000</v>
      </c>
      <c r="X50" s="523">
        <f t="shared" si="5"/>
        <v>1526708</v>
      </c>
      <c r="Y50" s="510"/>
    </row>
    <row r="51" spans="1:24" s="511" customFormat="1" ht="12" customHeight="1" thickBot="1">
      <c r="A51" s="613"/>
      <c r="B51" s="529" t="s">
        <v>700</v>
      </c>
      <c r="C51" s="524">
        <f aca="true" t="shared" si="6" ref="C51:N51">+C7+C9+C11+C13+C15+C17+C19+C21+C23+C25+C27+C29+C31+C33+C37+C39+C43+C45+C47+C49</f>
        <v>109181</v>
      </c>
      <c r="D51" s="524">
        <f t="shared" si="6"/>
        <v>73784</v>
      </c>
      <c r="E51" s="524">
        <f t="shared" si="6"/>
        <v>24954</v>
      </c>
      <c r="F51" s="524">
        <f t="shared" si="6"/>
        <v>0</v>
      </c>
      <c r="G51" s="524">
        <f t="shared" si="6"/>
        <v>0</v>
      </c>
      <c r="H51" s="524">
        <f t="shared" si="6"/>
        <v>0</v>
      </c>
      <c r="I51" s="524">
        <f t="shared" si="6"/>
        <v>0</v>
      </c>
      <c r="J51" s="524">
        <f t="shared" si="6"/>
        <v>1600</v>
      </c>
      <c r="K51" s="524">
        <f t="shared" si="6"/>
        <v>0</v>
      </c>
      <c r="L51" s="524">
        <f t="shared" si="6"/>
        <v>12069</v>
      </c>
      <c r="M51" s="524">
        <f t="shared" si="6"/>
        <v>0</v>
      </c>
      <c r="N51" s="525">
        <f t="shared" si="6"/>
        <v>147804</v>
      </c>
      <c r="O51" s="613"/>
      <c r="P51" s="529" t="s">
        <v>700</v>
      </c>
      <c r="Q51" s="530">
        <f t="shared" si="5"/>
        <v>929649</v>
      </c>
      <c r="R51" s="524">
        <f t="shared" si="5"/>
        <v>243478</v>
      </c>
      <c r="S51" s="524">
        <f t="shared" si="5"/>
        <v>402413</v>
      </c>
      <c r="T51" s="524">
        <f t="shared" si="5"/>
        <v>146692</v>
      </c>
      <c r="U51" s="524">
        <f t="shared" si="5"/>
        <v>9378</v>
      </c>
      <c r="V51" s="524">
        <f t="shared" si="5"/>
        <v>6352</v>
      </c>
      <c r="W51" s="524">
        <f t="shared" si="5"/>
        <v>17000</v>
      </c>
      <c r="X51" s="525">
        <f t="shared" si="5"/>
        <v>1608270</v>
      </c>
    </row>
    <row r="52" spans="1:24" s="511" customFormat="1" ht="12" thickTop="1">
      <c r="A52" s="512"/>
      <c r="B52" s="513"/>
      <c r="N52" s="514"/>
      <c r="O52" s="514"/>
      <c r="P52" s="514"/>
      <c r="X52" s="514"/>
    </row>
    <row r="53" spans="1:24" s="517" customFormat="1" ht="11.25" hidden="1">
      <c r="A53" s="515"/>
      <c r="B53" s="516" t="s">
        <v>673</v>
      </c>
      <c r="N53" s="510"/>
      <c r="O53" s="510"/>
      <c r="P53" s="510"/>
      <c r="Q53" s="517">
        <v>41768</v>
      </c>
      <c r="R53" s="517">
        <v>11278</v>
      </c>
      <c r="S53" s="517">
        <v>2750</v>
      </c>
      <c r="V53" s="517">
        <v>2952</v>
      </c>
      <c r="X53" s="510">
        <f aca="true" t="shared" si="7" ref="X53:X59">SUM(Q53:V53)</f>
        <v>58748</v>
      </c>
    </row>
    <row r="54" spans="1:24" s="517" customFormat="1" ht="11.25" hidden="1">
      <c r="A54" s="515"/>
      <c r="B54" s="516" t="s">
        <v>674</v>
      </c>
      <c r="N54" s="510"/>
      <c r="O54" s="510"/>
      <c r="P54" s="510"/>
      <c r="Q54" s="517">
        <v>-129</v>
      </c>
      <c r="S54" s="517">
        <v>129</v>
      </c>
      <c r="X54" s="510">
        <f t="shared" si="7"/>
        <v>0</v>
      </c>
    </row>
    <row r="55" spans="1:24" ht="11.25" hidden="1">
      <c r="A55" s="515"/>
      <c r="B55" s="518" t="s">
        <v>675</v>
      </c>
      <c r="C55" s="309"/>
      <c r="D55" s="309"/>
      <c r="E55" s="309"/>
      <c r="Q55" s="517">
        <v>3537</v>
      </c>
      <c r="R55" s="307">
        <v>3131</v>
      </c>
      <c r="S55" s="307">
        <v>415</v>
      </c>
      <c r="V55" s="307">
        <v>750</v>
      </c>
      <c r="X55" s="510">
        <f t="shared" si="7"/>
        <v>7833</v>
      </c>
    </row>
    <row r="56" spans="1:24" ht="11.25" hidden="1">
      <c r="A56" s="515"/>
      <c r="B56" s="518" t="s">
        <v>676</v>
      </c>
      <c r="R56" s="307">
        <v>810</v>
      </c>
      <c r="X56" s="510">
        <f t="shared" si="7"/>
        <v>810</v>
      </c>
    </row>
    <row r="57" spans="1:24" ht="11.25" hidden="1">
      <c r="A57" s="515"/>
      <c r="B57" s="518" t="s">
        <v>677</v>
      </c>
      <c r="Q57" s="307">
        <v>2204</v>
      </c>
      <c r="R57" s="307">
        <v>530</v>
      </c>
      <c r="S57" s="307">
        <v>9085</v>
      </c>
      <c r="V57" s="307">
        <v>250</v>
      </c>
      <c r="X57" s="510">
        <f t="shared" si="7"/>
        <v>12069</v>
      </c>
    </row>
    <row r="58" spans="1:24" ht="11.25" hidden="1">
      <c r="A58" s="515"/>
      <c r="B58" s="518" t="s">
        <v>678</v>
      </c>
      <c r="Q58" s="517">
        <v>768</v>
      </c>
      <c r="R58" s="517">
        <v>209</v>
      </c>
      <c r="S58" s="517"/>
      <c r="T58" s="517"/>
      <c r="U58" s="517"/>
      <c r="V58" s="517"/>
      <c r="X58" s="510">
        <f t="shared" si="7"/>
        <v>977</v>
      </c>
    </row>
    <row r="59" spans="1:24" ht="11.25" hidden="1">
      <c r="A59" s="515"/>
      <c r="B59" s="518" t="s">
        <v>679</v>
      </c>
      <c r="Q59" s="517">
        <v>886</v>
      </c>
      <c r="R59" s="517">
        <v>239</v>
      </c>
      <c r="S59" s="517"/>
      <c r="T59" s="517"/>
      <c r="U59" s="517"/>
      <c r="V59" s="517"/>
      <c r="X59" s="510">
        <f t="shared" si="7"/>
        <v>1125</v>
      </c>
    </row>
    <row r="60" spans="1:24" ht="11.25" hidden="1">
      <c r="A60" s="515"/>
      <c r="B60" s="518" t="s">
        <v>680</v>
      </c>
      <c r="X60" s="510">
        <f>+X51-X50</f>
        <v>81562</v>
      </c>
    </row>
    <row r="61" ht="11.25">
      <c r="A61" s="515"/>
    </row>
    <row r="62" ht="11.25">
      <c r="A62" s="515"/>
    </row>
    <row r="63" ht="11.25">
      <c r="A63" s="515"/>
    </row>
    <row r="64" ht="11.25">
      <c r="A64" s="515"/>
    </row>
    <row r="65" ht="11.25">
      <c r="A65" s="515"/>
    </row>
    <row r="66" ht="11.25">
      <c r="A66" s="515"/>
    </row>
    <row r="67" ht="11.25">
      <c r="A67" s="515"/>
    </row>
    <row r="68" ht="11.25">
      <c r="A68" s="515"/>
    </row>
    <row r="69" ht="11.25">
      <c r="A69" s="515"/>
    </row>
    <row r="70" ht="11.25">
      <c r="A70" s="515"/>
    </row>
    <row r="71" ht="11.25">
      <c r="A71" s="515"/>
    </row>
    <row r="72" ht="11.25">
      <c r="A72" s="515"/>
    </row>
    <row r="73" ht="11.25">
      <c r="A73" s="515"/>
    </row>
    <row r="74" ht="11.25">
      <c r="A74" s="515"/>
    </row>
    <row r="75" ht="11.25">
      <c r="A75" s="515"/>
    </row>
    <row r="76" ht="11.25">
      <c r="A76" s="515"/>
    </row>
    <row r="77" ht="11.25">
      <c r="A77" s="515"/>
    </row>
    <row r="78" ht="11.25">
      <c r="A78" s="515"/>
    </row>
    <row r="79" ht="11.25">
      <c r="A79" s="515"/>
    </row>
    <row r="80" ht="11.25">
      <c r="A80" s="515"/>
    </row>
    <row r="81" ht="11.25">
      <c r="A81" s="515"/>
    </row>
    <row r="82" ht="11.25">
      <c r="A82" s="515"/>
    </row>
    <row r="83" ht="11.25">
      <c r="A83" s="515"/>
    </row>
    <row r="84" ht="11.25">
      <c r="A84" s="515"/>
    </row>
    <row r="85" ht="11.25">
      <c r="A85" s="515"/>
    </row>
    <row r="86" ht="11.25">
      <c r="A86" s="515"/>
    </row>
    <row r="87" ht="11.25">
      <c r="A87" s="515"/>
    </row>
    <row r="88" ht="11.25">
      <c r="A88" s="515"/>
    </row>
    <row r="89" ht="11.25">
      <c r="A89" s="515"/>
    </row>
    <row r="90" ht="11.25">
      <c r="A90" s="515"/>
    </row>
    <row r="91" ht="11.25">
      <c r="A91" s="515"/>
    </row>
    <row r="92" ht="11.25">
      <c r="A92" s="515"/>
    </row>
    <row r="93" ht="11.25">
      <c r="A93" s="515"/>
    </row>
    <row r="94" ht="11.25">
      <c r="A94" s="515"/>
    </row>
    <row r="95" ht="11.25">
      <c r="A95" s="515"/>
    </row>
    <row r="96" ht="11.25">
      <c r="A96" s="515"/>
    </row>
    <row r="97" ht="11.25">
      <c r="A97" s="515"/>
    </row>
    <row r="98" ht="11.25">
      <c r="A98" s="515"/>
    </row>
    <row r="99" ht="11.25">
      <c r="A99" s="515"/>
    </row>
    <row r="100" ht="11.25">
      <c r="A100" s="515"/>
    </row>
    <row r="101" ht="11.25">
      <c r="A101" s="515"/>
    </row>
    <row r="102" ht="11.25">
      <c r="A102" s="515"/>
    </row>
    <row r="103" ht="11.25">
      <c r="A103" s="515"/>
    </row>
  </sheetData>
  <mergeCells count="62">
    <mergeCell ref="A2:N2"/>
    <mergeCell ref="O46:O47"/>
    <mergeCell ref="O48:O49"/>
    <mergeCell ref="O50:O51"/>
    <mergeCell ref="O2:X2"/>
    <mergeCell ref="O38:O39"/>
    <mergeCell ref="O40:O41"/>
    <mergeCell ref="O42:O43"/>
    <mergeCell ref="O44:O45"/>
    <mergeCell ref="O30:O31"/>
    <mergeCell ref="O32:O33"/>
    <mergeCell ref="O34:O35"/>
    <mergeCell ref="O36:O37"/>
    <mergeCell ref="O22:O23"/>
    <mergeCell ref="O24:O25"/>
    <mergeCell ref="O26:O27"/>
    <mergeCell ref="O28:O29"/>
    <mergeCell ref="O4:P5"/>
    <mergeCell ref="O6:O7"/>
    <mergeCell ref="O8:O9"/>
    <mergeCell ref="O10:O11"/>
    <mergeCell ref="O12:O13"/>
    <mergeCell ref="O14:O15"/>
    <mergeCell ref="O16:O17"/>
    <mergeCell ref="O18:O19"/>
    <mergeCell ref="O20:O21"/>
    <mergeCell ref="A44:A45"/>
    <mergeCell ref="A46:A47"/>
    <mergeCell ref="A48:A49"/>
    <mergeCell ref="A28:A29"/>
    <mergeCell ref="A30:A31"/>
    <mergeCell ref="A32:A33"/>
    <mergeCell ref="A34:A35"/>
    <mergeCell ref="A20:A21"/>
    <mergeCell ref="A22:A23"/>
    <mergeCell ref="A50:A51"/>
    <mergeCell ref="A36:A37"/>
    <mergeCell ref="A38:A39"/>
    <mergeCell ref="A40:A41"/>
    <mergeCell ref="A42:A43"/>
    <mergeCell ref="A24:A25"/>
    <mergeCell ref="A26:A27"/>
    <mergeCell ref="A12:A13"/>
    <mergeCell ref="A14:A15"/>
    <mergeCell ref="A16:A17"/>
    <mergeCell ref="A18:A19"/>
    <mergeCell ref="X4:X5"/>
    <mergeCell ref="A6:A7"/>
    <mergeCell ref="A8:A9"/>
    <mergeCell ref="A10:A11"/>
    <mergeCell ref="L4:M4"/>
    <mergeCell ref="N4:N5"/>
    <mergeCell ref="Q4:U4"/>
    <mergeCell ref="V4:W4"/>
    <mergeCell ref="A4:B5"/>
    <mergeCell ref="C4:C5"/>
    <mergeCell ref="I4:J4"/>
    <mergeCell ref="K4:K5"/>
    <mergeCell ref="D4:D5"/>
    <mergeCell ref="E4:E5"/>
    <mergeCell ref="F4:F5"/>
    <mergeCell ref="G4:H4"/>
  </mergeCells>
  <printOptions horizontalCentered="1" verticalCentered="1"/>
  <pageMargins left="0.4" right="0.2" top="0.31" bottom="0.21" header="0.17" footer="0.16"/>
  <pageSetup horizontalDpi="600" verticalDpi="600" orientation="landscape" paperSize="9" scale="85" r:id="rId1"/>
  <headerFooter alignWithMargins="0">
    <oddHeader>&amp;L&amp;"Times New Roman,Félkövér"&amp;8 5. sz. melléklet&amp;R.</oddHead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88"/>
  <sheetViews>
    <sheetView zoomScaleSheetLayoutView="100" workbookViewId="0" topLeftCell="A19">
      <selection activeCell="C22" sqref="C22"/>
    </sheetView>
  </sheetViews>
  <sheetFormatPr defaultColWidth="9.00390625" defaultRowHeight="12.75"/>
  <cols>
    <col min="1" max="1" width="78.00390625" style="0" customWidth="1"/>
    <col min="2" max="2" width="11.75390625" style="0" customWidth="1"/>
    <col min="3" max="3" width="11.75390625" style="411" customWidth="1"/>
  </cols>
  <sheetData>
    <row r="1" spans="1:2" ht="12.75">
      <c r="A1" s="141" t="s">
        <v>145</v>
      </c>
      <c r="B1" s="118"/>
    </row>
    <row r="2" spans="1:2" ht="12" customHeight="1">
      <c r="A2" s="141"/>
      <c r="B2" s="118"/>
    </row>
    <row r="3" spans="1:3" ht="13.5" customHeight="1">
      <c r="A3" s="620" t="s">
        <v>55</v>
      </c>
      <c r="B3" s="620"/>
      <c r="C3" s="546"/>
    </row>
    <row r="4" spans="1:3" ht="14.25" customHeight="1">
      <c r="A4" s="621" t="s">
        <v>117</v>
      </c>
      <c r="B4" s="621"/>
      <c r="C4" s="546"/>
    </row>
    <row r="5" spans="1:2" ht="14.25" customHeight="1" thickBot="1">
      <c r="A5" s="142"/>
      <c r="B5" s="143"/>
    </row>
    <row r="6" spans="1:3" s="165" customFormat="1" ht="12.75" customHeight="1" thickTop="1">
      <c r="A6" s="164"/>
      <c r="B6" s="352" t="s">
        <v>206</v>
      </c>
      <c r="C6" s="412" t="s">
        <v>700</v>
      </c>
    </row>
    <row r="7" spans="1:3" s="162" customFormat="1" ht="12.75" customHeight="1">
      <c r="A7" s="167" t="s">
        <v>294</v>
      </c>
      <c r="B7" s="353">
        <f>SUM(B16+B29+B34)</f>
        <v>195168</v>
      </c>
      <c r="C7" s="413">
        <f>SUM(C16+C29+C34)</f>
        <v>192653</v>
      </c>
    </row>
    <row r="8" spans="1:3" s="165" customFormat="1" ht="12.75" customHeight="1">
      <c r="A8" s="169"/>
      <c r="B8" s="353"/>
      <c r="C8" s="414"/>
    </row>
    <row r="9" spans="1:3" s="165" customFormat="1" ht="12.75" customHeight="1">
      <c r="A9" s="170" t="s">
        <v>309</v>
      </c>
      <c r="B9" s="354"/>
      <c r="C9" s="414"/>
    </row>
    <row r="10" spans="1:3" s="165" customFormat="1" ht="12.75" customHeight="1">
      <c r="A10" s="171" t="s">
        <v>77</v>
      </c>
      <c r="B10" s="354">
        <v>17000</v>
      </c>
      <c r="C10" s="414">
        <v>17000</v>
      </c>
    </row>
    <row r="11" spans="1:3" s="165" customFormat="1" ht="12.75" customHeight="1">
      <c r="A11" s="171" t="s">
        <v>78</v>
      </c>
      <c r="B11" s="354">
        <v>8650</v>
      </c>
      <c r="C11" s="414">
        <v>8650</v>
      </c>
    </row>
    <row r="12" spans="1:3" s="165" customFormat="1" ht="12.75" customHeight="1">
      <c r="A12" s="171" t="s">
        <v>79</v>
      </c>
      <c r="B12" s="354">
        <v>1465</v>
      </c>
      <c r="C12" s="414">
        <v>1465</v>
      </c>
    </row>
    <row r="13" spans="1:3" s="165" customFormat="1" ht="12.75" customHeight="1">
      <c r="A13" s="171" t="s">
        <v>80</v>
      </c>
      <c r="B13" s="354">
        <v>33962</v>
      </c>
      <c r="C13" s="414">
        <v>30654</v>
      </c>
    </row>
    <row r="14" spans="1:3" s="165" customFormat="1" ht="12.75" customHeight="1">
      <c r="A14" s="171" t="s">
        <v>81</v>
      </c>
      <c r="B14" s="354">
        <v>69791</v>
      </c>
      <c r="C14" s="414">
        <v>69791</v>
      </c>
    </row>
    <row r="15" spans="1:3" s="165" customFormat="1" ht="12.75" customHeight="1">
      <c r="A15" s="171" t="s">
        <v>82</v>
      </c>
      <c r="B15" s="354">
        <v>5000</v>
      </c>
      <c r="C15" s="414">
        <v>5000</v>
      </c>
    </row>
    <row r="16" spans="1:3" s="172" customFormat="1" ht="12.75" customHeight="1">
      <c r="A16" s="170" t="s">
        <v>261</v>
      </c>
      <c r="B16" s="355">
        <f>SUM(B10:B15)</f>
        <v>135868</v>
      </c>
      <c r="C16" s="415">
        <f>SUM(C10:C15)</f>
        <v>132560</v>
      </c>
    </row>
    <row r="17" spans="1:3" s="165" customFormat="1" ht="12.75" customHeight="1">
      <c r="A17" s="171"/>
      <c r="B17" s="354"/>
      <c r="C17" s="414"/>
    </row>
    <row r="18" spans="1:3" s="165" customFormat="1" ht="12.75" customHeight="1">
      <c r="A18" s="170" t="s">
        <v>56</v>
      </c>
      <c r="B18" s="354"/>
      <c r="C18" s="414"/>
    </row>
    <row r="19" spans="1:3" s="165" customFormat="1" ht="12.75" customHeight="1">
      <c r="A19" s="173" t="s">
        <v>83</v>
      </c>
      <c r="B19" s="356">
        <v>5000</v>
      </c>
      <c r="C19" s="414">
        <v>5000</v>
      </c>
    </row>
    <row r="20" spans="1:3" s="165" customFormat="1" ht="12.75" customHeight="1">
      <c r="A20" s="171" t="s">
        <v>84</v>
      </c>
      <c r="B20" s="354">
        <v>500</v>
      </c>
      <c r="C20" s="414">
        <v>500</v>
      </c>
    </row>
    <row r="21" spans="1:3" s="165" customFormat="1" ht="12.75" customHeight="1">
      <c r="A21" s="171" t="s">
        <v>364</v>
      </c>
      <c r="B21" s="354">
        <v>20000</v>
      </c>
      <c r="C21" s="414">
        <v>20000</v>
      </c>
    </row>
    <row r="22" spans="1:3" s="165" customFormat="1" ht="12.75" customHeight="1">
      <c r="A22" s="171" t="s">
        <v>365</v>
      </c>
      <c r="B22" s="354">
        <v>10000</v>
      </c>
      <c r="C22" s="414">
        <v>10000</v>
      </c>
    </row>
    <row r="23" spans="1:3" s="165" customFormat="1" ht="12.75" customHeight="1">
      <c r="A23" s="171" t="s">
        <v>558</v>
      </c>
      <c r="B23" s="354">
        <v>2000</v>
      </c>
      <c r="C23" s="414">
        <v>2000</v>
      </c>
    </row>
    <row r="24" spans="1:3" s="165" customFormat="1" ht="12.75" customHeight="1">
      <c r="A24" s="171" t="s">
        <v>366</v>
      </c>
      <c r="B24" s="354">
        <v>800</v>
      </c>
      <c r="C24" s="414">
        <v>800</v>
      </c>
    </row>
    <row r="25" spans="1:3" s="165" customFormat="1" ht="12.75" customHeight="1">
      <c r="A25" s="171" t="s">
        <v>367</v>
      </c>
      <c r="B25" s="354">
        <v>10000</v>
      </c>
      <c r="C25" s="414">
        <v>10000</v>
      </c>
    </row>
    <row r="26" spans="1:3" s="165" customFormat="1" ht="12.75" customHeight="1">
      <c r="A26" s="171" t="s">
        <v>22</v>
      </c>
      <c r="B26" s="354">
        <v>10000</v>
      </c>
      <c r="C26" s="414">
        <v>10000</v>
      </c>
    </row>
    <row r="27" spans="1:3" s="165" customFormat="1" ht="12.75" customHeight="1">
      <c r="A27" s="175" t="s">
        <v>593</v>
      </c>
      <c r="B27" s="358"/>
      <c r="C27" s="414">
        <v>403</v>
      </c>
    </row>
    <row r="28" spans="1:3" s="165" customFormat="1" ht="12.75" customHeight="1">
      <c r="A28" s="175" t="s">
        <v>594</v>
      </c>
      <c r="B28" s="358"/>
      <c r="C28" s="414">
        <v>198</v>
      </c>
    </row>
    <row r="29" spans="1:4" s="172" customFormat="1" ht="12.75" customHeight="1">
      <c r="A29" s="170" t="s">
        <v>261</v>
      </c>
      <c r="B29" s="355">
        <f>SUM(B19:B26)</f>
        <v>58300</v>
      </c>
      <c r="C29" s="415">
        <f>SUM(C19:C28)</f>
        <v>58901</v>
      </c>
      <c r="D29" s="184"/>
    </row>
    <row r="30" spans="1:3" s="165" customFormat="1" ht="12.75" customHeight="1">
      <c r="A30" s="251"/>
      <c r="B30" s="357"/>
      <c r="C30" s="414"/>
    </row>
    <row r="31" spans="1:3" s="165" customFormat="1" ht="12.75" customHeight="1">
      <c r="A31" s="170" t="s">
        <v>57</v>
      </c>
      <c r="B31" s="354"/>
      <c r="C31" s="414"/>
    </row>
    <row r="32" spans="1:3" s="165" customFormat="1" ht="12.75" customHeight="1">
      <c r="A32" s="171" t="s">
        <v>521</v>
      </c>
      <c r="B32" s="354">
        <v>1000</v>
      </c>
      <c r="C32" s="414">
        <v>1000</v>
      </c>
    </row>
    <row r="33" spans="1:3" s="165" customFormat="1" ht="12.75" customHeight="1">
      <c r="A33" s="171" t="s">
        <v>681</v>
      </c>
      <c r="B33" s="354"/>
      <c r="C33" s="414">
        <v>192</v>
      </c>
    </row>
    <row r="34" spans="1:3" s="172" customFormat="1" ht="12.75" customHeight="1">
      <c r="A34" s="170" t="s">
        <v>261</v>
      </c>
      <c r="B34" s="355">
        <f>SUM(B32:B33)</f>
        <v>1000</v>
      </c>
      <c r="C34" s="415">
        <f>SUM(C32:C33)</f>
        <v>1192</v>
      </c>
    </row>
    <row r="35" spans="1:3" s="165" customFormat="1" ht="12.75" customHeight="1">
      <c r="A35" s="175"/>
      <c r="B35" s="358"/>
      <c r="C35" s="414"/>
    </row>
    <row r="36" spans="1:3" s="162" customFormat="1" ht="12.75" customHeight="1">
      <c r="A36" s="160" t="s">
        <v>204</v>
      </c>
      <c r="B36" s="359">
        <f>SUM(B37)</f>
        <v>0</v>
      </c>
      <c r="C36" s="416">
        <v>0</v>
      </c>
    </row>
    <row r="37" spans="1:3" s="165" customFormat="1" ht="12.75" customHeight="1">
      <c r="A37" s="171"/>
      <c r="B37" s="354"/>
      <c r="C37" s="414"/>
    </row>
    <row r="38" spans="1:3" s="165" customFormat="1" ht="12.75" customHeight="1">
      <c r="A38" s="171"/>
      <c r="B38" s="354"/>
      <c r="C38" s="414"/>
    </row>
    <row r="39" spans="1:3" s="162" customFormat="1" ht="12.75" customHeight="1">
      <c r="A39" s="160" t="s">
        <v>216</v>
      </c>
      <c r="B39" s="359">
        <f>SUM(B40:B43)</f>
        <v>17000</v>
      </c>
      <c r="C39" s="416">
        <f>SUM(C40:C43)</f>
        <v>17000</v>
      </c>
    </row>
    <row r="40" spans="1:3" s="165" customFormat="1" ht="12.75" customHeight="1">
      <c r="A40" s="173" t="s">
        <v>393</v>
      </c>
      <c r="B40" s="354">
        <v>5000</v>
      </c>
      <c r="C40" s="414">
        <v>5000</v>
      </c>
    </row>
    <row r="41" spans="1:3" s="165" customFormat="1" ht="12.75" customHeight="1">
      <c r="A41" s="173" t="s">
        <v>394</v>
      </c>
      <c r="B41" s="354">
        <v>1350</v>
      </c>
      <c r="C41" s="414">
        <v>1350</v>
      </c>
    </row>
    <row r="42" spans="1:3" s="165" customFormat="1" ht="12.75" customHeight="1">
      <c r="A42" s="181" t="s">
        <v>395</v>
      </c>
      <c r="B42" s="360">
        <v>2400</v>
      </c>
      <c r="C42" s="414">
        <v>2400</v>
      </c>
    </row>
    <row r="43" spans="1:3" s="165" customFormat="1" ht="12.75" customHeight="1">
      <c r="A43" s="166" t="s">
        <v>396</v>
      </c>
      <c r="B43" s="360">
        <v>8250</v>
      </c>
      <c r="C43" s="414">
        <v>8250</v>
      </c>
    </row>
    <row r="44" spans="1:3" s="165" customFormat="1" ht="12.75" customHeight="1">
      <c r="A44" s="173"/>
      <c r="B44" s="354"/>
      <c r="C44" s="414"/>
    </row>
    <row r="45" spans="1:3" s="172" customFormat="1" ht="12.75" customHeight="1" thickBot="1">
      <c r="A45" s="182" t="s">
        <v>217</v>
      </c>
      <c r="B45" s="361">
        <f>SUM(B16+B29+B34+B36+B39)</f>
        <v>212168</v>
      </c>
      <c r="C45" s="417">
        <f>SUM(C16+C29+C34+C36+C39)</f>
        <v>209653</v>
      </c>
    </row>
    <row r="46" spans="2:3" s="165" customFormat="1" ht="13.5" thickTop="1">
      <c r="B46" s="183"/>
      <c r="C46" s="418"/>
    </row>
    <row r="47" spans="2:3" s="165" customFormat="1" ht="12.75">
      <c r="B47" s="183"/>
      <c r="C47" s="418"/>
    </row>
    <row r="48" spans="2:3" s="165" customFormat="1" ht="12.75">
      <c r="B48" s="183"/>
      <c r="C48" s="418"/>
    </row>
    <row r="49" s="165" customFormat="1" ht="12.75">
      <c r="C49" s="418"/>
    </row>
    <row r="50" s="165" customFormat="1" ht="12.75">
      <c r="C50" s="418"/>
    </row>
    <row r="51" s="165" customFormat="1" ht="12.75">
      <c r="C51" s="418"/>
    </row>
    <row r="52" s="165" customFormat="1" ht="12.75">
      <c r="C52" s="418"/>
    </row>
    <row r="53" s="165" customFormat="1" ht="12.75">
      <c r="C53" s="418"/>
    </row>
    <row r="54" s="165" customFormat="1" ht="12.75">
      <c r="C54" s="418"/>
    </row>
    <row r="55" s="165" customFormat="1" ht="12.75">
      <c r="C55" s="418"/>
    </row>
    <row r="56" s="165" customFormat="1" ht="12.75">
      <c r="C56" s="418"/>
    </row>
    <row r="57" s="165" customFormat="1" ht="12.75">
      <c r="C57" s="418"/>
    </row>
    <row r="58" s="165" customFormat="1" ht="12.75">
      <c r="C58" s="418"/>
    </row>
    <row r="59" s="165" customFormat="1" ht="12.75">
      <c r="C59" s="418"/>
    </row>
    <row r="60" s="165" customFormat="1" ht="12.75">
      <c r="C60" s="418"/>
    </row>
    <row r="61" s="165" customFormat="1" ht="12.75">
      <c r="C61" s="418"/>
    </row>
    <row r="62" s="165" customFormat="1" ht="12.75">
      <c r="C62" s="418"/>
    </row>
    <row r="63" s="165" customFormat="1" ht="12.75">
      <c r="C63" s="418"/>
    </row>
    <row r="64" s="165" customFormat="1" ht="12.75">
      <c r="C64" s="418"/>
    </row>
    <row r="65" s="165" customFormat="1" ht="12.75">
      <c r="C65" s="418"/>
    </row>
    <row r="66" s="165" customFormat="1" ht="12.75">
      <c r="C66" s="418"/>
    </row>
    <row r="67" s="165" customFormat="1" ht="12.75">
      <c r="C67" s="418"/>
    </row>
    <row r="68" s="165" customFormat="1" ht="12.75">
      <c r="C68" s="418"/>
    </row>
    <row r="69" s="165" customFormat="1" ht="12.75">
      <c r="C69" s="418"/>
    </row>
    <row r="70" s="165" customFormat="1" ht="12.75">
      <c r="C70" s="418"/>
    </row>
    <row r="71" s="165" customFormat="1" ht="12.75">
      <c r="C71" s="418"/>
    </row>
    <row r="72" s="165" customFormat="1" ht="12.75">
      <c r="C72" s="418"/>
    </row>
    <row r="73" s="165" customFormat="1" ht="12.75">
      <c r="C73" s="418"/>
    </row>
    <row r="74" s="165" customFormat="1" ht="12.75">
      <c r="C74" s="418"/>
    </row>
    <row r="75" s="165" customFormat="1" ht="12.75">
      <c r="C75" s="418"/>
    </row>
    <row r="76" s="165" customFormat="1" ht="12.75">
      <c r="C76" s="418"/>
    </row>
    <row r="77" s="165" customFormat="1" ht="12.75">
      <c r="C77" s="418"/>
    </row>
    <row r="78" s="165" customFormat="1" ht="12.75">
      <c r="C78" s="418"/>
    </row>
    <row r="79" s="165" customFormat="1" ht="12.75">
      <c r="C79" s="418"/>
    </row>
    <row r="80" s="165" customFormat="1" ht="12.75">
      <c r="C80" s="418"/>
    </row>
    <row r="81" s="165" customFormat="1" ht="12.75">
      <c r="C81" s="418"/>
    </row>
    <row r="82" s="165" customFormat="1" ht="12.75">
      <c r="C82" s="418"/>
    </row>
    <row r="83" s="165" customFormat="1" ht="12.75">
      <c r="C83" s="418"/>
    </row>
    <row r="84" s="165" customFormat="1" ht="12.75">
      <c r="C84" s="418"/>
    </row>
    <row r="85" s="165" customFormat="1" ht="12.75">
      <c r="C85" s="418"/>
    </row>
    <row r="86" s="165" customFormat="1" ht="12.75">
      <c r="C86" s="418"/>
    </row>
    <row r="87" s="165" customFormat="1" ht="12.75">
      <c r="C87" s="418"/>
    </row>
    <row r="88" s="165" customFormat="1" ht="12.75">
      <c r="C88" s="418"/>
    </row>
    <row r="89" s="165" customFormat="1" ht="12.75">
      <c r="C89" s="418"/>
    </row>
    <row r="90" s="165" customFormat="1" ht="12.75">
      <c r="C90" s="418"/>
    </row>
    <row r="91" s="165" customFormat="1" ht="12.75">
      <c r="C91" s="418"/>
    </row>
    <row r="92" s="165" customFormat="1" ht="12.75">
      <c r="C92" s="418"/>
    </row>
    <row r="93" s="165" customFormat="1" ht="12.75">
      <c r="C93" s="418"/>
    </row>
    <row r="94" s="165" customFormat="1" ht="12.75">
      <c r="C94" s="418"/>
    </row>
    <row r="95" s="165" customFormat="1" ht="12.75">
      <c r="C95" s="418"/>
    </row>
    <row r="96" s="165" customFormat="1" ht="12.75">
      <c r="C96" s="418"/>
    </row>
    <row r="97" s="165" customFormat="1" ht="12.75">
      <c r="C97" s="418"/>
    </row>
    <row r="98" s="165" customFormat="1" ht="12.75">
      <c r="C98" s="418"/>
    </row>
    <row r="99" s="165" customFormat="1" ht="12.75">
      <c r="C99" s="418"/>
    </row>
    <row r="100" s="165" customFormat="1" ht="12.75">
      <c r="C100" s="418"/>
    </row>
    <row r="101" s="165" customFormat="1" ht="12.75">
      <c r="C101" s="418"/>
    </row>
    <row r="102" s="165" customFormat="1" ht="12.75">
      <c r="C102" s="418"/>
    </row>
    <row r="103" s="165" customFormat="1" ht="12.75">
      <c r="C103" s="418"/>
    </row>
    <row r="104" s="165" customFormat="1" ht="12.75">
      <c r="C104" s="418"/>
    </row>
    <row r="105" s="165" customFormat="1" ht="12.75">
      <c r="C105" s="418"/>
    </row>
    <row r="106" s="165" customFormat="1" ht="12.75">
      <c r="C106" s="418"/>
    </row>
    <row r="107" s="165" customFormat="1" ht="12.75">
      <c r="C107" s="418"/>
    </row>
    <row r="108" s="165" customFormat="1" ht="12.75">
      <c r="C108" s="418"/>
    </row>
    <row r="109" s="165" customFormat="1" ht="12.75">
      <c r="C109" s="418"/>
    </row>
    <row r="110" s="165" customFormat="1" ht="12.75">
      <c r="C110" s="418"/>
    </row>
    <row r="111" s="165" customFormat="1" ht="12.75">
      <c r="C111" s="418"/>
    </row>
    <row r="112" s="165" customFormat="1" ht="12.75">
      <c r="C112" s="418"/>
    </row>
    <row r="113" s="165" customFormat="1" ht="12.75">
      <c r="C113" s="418"/>
    </row>
    <row r="114" s="165" customFormat="1" ht="12.75">
      <c r="C114" s="418"/>
    </row>
    <row r="115" s="165" customFormat="1" ht="12.75">
      <c r="C115" s="418"/>
    </row>
    <row r="116" s="165" customFormat="1" ht="12.75">
      <c r="C116" s="418"/>
    </row>
    <row r="117" s="165" customFormat="1" ht="12.75">
      <c r="C117" s="418"/>
    </row>
    <row r="118" s="165" customFormat="1" ht="12.75">
      <c r="C118" s="418"/>
    </row>
    <row r="119" s="165" customFormat="1" ht="12.75">
      <c r="C119" s="418"/>
    </row>
    <row r="120" s="165" customFormat="1" ht="12.75">
      <c r="C120" s="418"/>
    </row>
    <row r="121" s="165" customFormat="1" ht="12.75">
      <c r="C121" s="418"/>
    </row>
    <row r="122" s="165" customFormat="1" ht="12.75">
      <c r="C122" s="418"/>
    </row>
    <row r="123" s="165" customFormat="1" ht="12.75">
      <c r="C123" s="418"/>
    </row>
    <row r="124" s="165" customFormat="1" ht="12.75">
      <c r="C124" s="418"/>
    </row>
    <row r="125" s="165" customFormat="1" ht="12.75">
      <c r="C125" s="418"/>
    </row>
    <row r="126" s="165" customFormat="1" ht="12.75">
      <c r="C126" s="418"/>
    </row>
    <row r="127" s="165" customFormat="1" ht="12.75">
      <c r="C127" s="418"/>
    </row>
    <row r="128" s="165" customFormat="1" ht="12.75">
      <c r="C128" s="418"/>
    </row>
    <row r="129" s="165" customFormat="1" ht="12.75">
      <c r="C129" s="418"/>
    </row>
    <row r="130" s="165" customFormat="1" ht="12.75">
      <c r="C130" s="418"/>
    </row>
    <row r="131" s="165" customFormat="1" ht="12.75">
      <c r="C131" s="418"/>
    </row>
    <row r="132" s="165" customFormat="1" ht="12.75">
      <c r="C132" s="418"/>
    </row>
    <row r="133" s="165" customFormat="1" ht="12.75">
      <c r="C133" s="418"/>
    </row>
    <row r="134" s="165" customFormat="1" ht="12.75">
      <c r="C134" s="418"/>
    </row>
    <row r="135" s="165" customFormat="1" ht="12.75">
      <c r="C135" s="418"/>
    </row>
    <row r="136" s="165" customFormat="1" ht="12.75">
      <c r="C136" s="418"/>
    </row>
    <row r="137" s="165" customFormat="1" ht="12.75">
      <c r="C137" s="418"/>
    </row>
    <row r="138" s="165" customFormat="1" ht="12.75">
      <c r="C138" s="418"/>
    </row>
    <row r="139" s="165" customFormat="1" ht="12.75">
      <c r="C139" s="418"/>
    </row>
    <row r="140" s="165" customFormat="1" ht="12.75">
      <c r="C140" s="418"/>
    </row>
    <row r="141" s="165" customFormat="1" ht="12.75">
      <c r="C141" s="418"/>
    </row>
    <row r="142" s="165" customFormat="1" ht="12.75">
      <c r="C142" s="418"/>
    </row>
    <row r="143" s="165" customFormat="1" ht="12.75">
      <c r="C143" s="418"/>
    </row>
    <row r="144" s="165" customFormat="1" ht="12.75">
      <c r="C144" s="418"/>
    </row>
    <row r="145" s="165" customFormat="1" ht="12.75">
      <c r="C145" s="418"/>
    </row>
    <row r="146" s="165" customFormat="1" ht="12.75">
      <c r="C146" s="418"/>
    </row>
    <row r="147" s="165" customFormat="1" ht="12.75">
      <c r="C147" s="418"/>
    </row>
    <row r="148" s="165" customFormat="1" ht="12.75">
      <c r="C148" s="418"/>
    </row>
    <row r="149" s="165" customFormat="1" ht="12.75">
      <c r="C149" s="418"/>
    </row>
    <row r="150" s="165" customFormat="1" ht="12.75">
      <c r="C150" s="418"/>
    </row>
    <row r="151" s="165" customFormat="1" ht="12.75">
      <c r="C151" s="418"/>
    </row>
    <row r="152" s="165" customFormat="1" ht="12.75">
      <c r="C152" s="418"/>
    </row>
    <row r="153" s="165" customFormat="1" ht="12.75">
      <c r="C153" s="418"/>
    </row>
    <row r="154" s="165" customFormat="1" ht="12.75">
      <c r="C154" s="418"/>
    </row>
    <row r="155" s="165" customFormat="1" ht="12.75">
      <c r="C155" s="418"/>
    </row>
    <row r="156" s="165" customFormat="1" ht="12.75">
      <c r="C156" s="418"/>
    </row>
    <row r="157" s="165" customFormat="1" ht="12.75">
      <c r="C157" s="418"/>
    </row>
    <row r="158" s="165" customFormat="1" ht="12.75">
      <c r="C158" s="418"/>
    </row>
    <row r="159" s="165" customFormat="1" ht="12.75">
      <c r="C159" s="418"/>
    </row>
    <row r="160" s="165" customFormat="1" ht="12.75">
      <c r="C160" s="418"/>
    </row>
    <row r="161" s="165" customFormat="1" ht="12.75">
      <c r="C161" s="418"/>
    </row>
    <row r="162" s="165" customFormat="1" ht="12.75">
      <c r="C162" s="418"/>
    </row>
    <row r="163" s="165" customFormat="1" ht="12.75">
      <c r="C163" s="418"/>
    </row>
    <row r="164" s="165" customFormat="1" ht="12.75">
      <c r="C164" s="418"/>
    </row>
    <row r="165" s="165" customFormat="1" ht="12.75">
      <c r="C165" s="418"/>
    </row>
    <row r="166" s="165" customFormat="1" ht="12.75">
      <c r="C166" s="418"/>
    </row>
    <row r="167" s="165" customFormat="1" ht="12.75">
      <c r="C167" s="418"/>
    </row>
    <row r="168" s="165" customFormat="1" ht="12.75">
      <c r="C168" s="418"/>
    </row>
    <row r="169" s="165" customFormat="1" ht="12.75">
      <c r="C169" s="418"/>
    </row>
    <row r="170" s="165" customFormat="1" ht="12.75">
      <c r="C170" s="418"/>
    </row>
    <row r="171" s="165" customFormat="1" ht="12.75">
      <c r="C171" s="418"/>
    </row>
    <row r="172" s="165" customFormat="1" ht="12.75">
      <c r="C172" s="418"/>
    </row>
    <row r="173" s="165" customFormat="1" ht="12.75">
      <c r="C173" s="418"/>
    </row>
    <row r="174" s="165" customFormat="1" ht="12.75">
      <c r="C174" s="418"/>
    </row>
    <row r="175" s="165" customFormat="1" ht="12.75">
      <c r="C175" s="418"/>
    </row>
    <row r="176" s="165" customFormat="1" ht="12.75">
      <c r="C176" s="418"/>
    </row>
    <row r="177" s="165" customFormat="1" ht="12.75">
      <c r="C177" s="418"/>
    </row>
    <row r="178" s="165" customFormat="1" ht="12.75">
      <c r="C178" s="418"/>
    </row>
    <row r="179" s="165" customFormat="1" ht="12.75">
      <c r="C179" s="418"/>
    </row>
    <row r="180" s="165" customFormat="1" ht="12.75">
      <c r="C180" s="418"/>
    </row>
    <row r="181" s="165" customFormat="1" ht="12.75">
      <c r="C181" s="418"/>
    </row>
    <row r="182" s="165" customFormat="1" ht="12.75">
      <c r="C182" s="418"/>
    </row>
    <row r="183" s="165" customFormat="1" ht="12.75">
      <c r="C183" s="418"/>
    </row>
    <row r="184" s="165" customFormat="1" ht="12.75">
      <c r="C184" s="418"/>
    </row>
    <row r="185" s="165" customFormat="1" ht="12.75">
      <c r="C185" s="418"/>
    </row>
    <row r="186" s="165" customFormat="1" ht="12.75">
      <c r="C186" s="418"/>
    </row>
    <row r="187" s="165" customFormat="1" ht="12.75">
      <c r="C187" s="418"/>
    </row>
    <row r="188" s="165" customFormat="1" ht="12.75">
      <c r="C188" s="418"/>
    </row>
  </sheetData>
  <mergeCells count="2">
    <mergeCell ref="A3:C3"/>
    <mergeCell ref="A4:C4"/>
  </mergeCells>
  <printOptions horizontalCentered="1"/>
  <pageMargins left="0.2362204724409449" right="0.2362204724409449" top="0.34" bottom="0.1968503937007874" header="0.25" footer="0.1574803149606299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SheetLayoutView="100" workbookViewId="0" topLeftCell="A62">
      <selection activeCell="A70" sqref="A70"/>
    </sheetView>
  </sheetViews>
  <sheetFormatPr defaultColWidth="9.00390625" defaultRowHeight="12.75"/>
  <cols>
    <col min="1" max="1" width="100.00390625" style="0" customWidth="1"/>
    <col min="2" max="3" width="10.75390625" style="0" customWidth="1"/>
  </cols>
  <sheetData>
    <row r="1" spans="1:2" ht="12.75">
      <c r="A1" s="141" t="s">
        <v>146</v>
      </c>
      <c r="B1" s="118"/>
    </row>
    <row r="3" spans="1:3" ht="15.75">
      <c r="A3" s="620" t="s">
        <v>391</v>
      </c>
      <c r="B3" s="620"/>
      <c r="C3" s="546"/>
    </row>
    <row r="4" spans="1:3" ht="15.75">
      <c r="A4" s="622" t="s">
        <v>100</v>
      </c>
      <c r="B4" s="622"/>
      <c r="C4" s="546"/>
    </row>
    <row r="5" spans="1:2" ht="16.5" thickBot="1">
      <c r="A5" s="31"/>
      <c r="B5" s="118"/>
    </row>
    <row r="6" spans="1:3" s="165" customFormat="1" ht="13.5" thickTop="1">
      <c r="A6" s="164"/>
      <c r="B6" s="352" t="s">
        <v>206</v>
      </c>
      <c r="C6" s="363" t="s">
        <v>700</v>
      </c>
    </row>
    <row r="7" spans="1:3" s="165" customFormat="1" ht="12.75">
      <c r="A7" s="166"/>
      <c r="B7" s="364"/>
      <c r="C7" s="362"/>
    </row>
    <row r="8" spans="1:3" s="168" customFormat="1" ht="13.5">
      <c r="A8" s="167" t="s">
        <v>294</v>
      </c>
      <c r="B8" s="353">
        <f>SUM(B29+B40+B75+B88)</f>
        <v>4311281</v>
      </c>
      <c r="C8" s="413">
        <f>SUM(C29+C40+C75+C88)</f>
        <v>4517227</v>
      </c>
    </row>
    <row r="9" spans="1:3" s="165" customFormat="1" ht="13.5">
      <c r="A9" s="169"/>
      <c r="B9" s="306"/>
      <c r="C9" s="414"/>
    </row>
    <row r="10" spans="1:3" s="165" customFormat="1" ht="12.75">
      <c r="A10" s="170" t="s">
        <v>309</v>
      </c>
      <c r="B10" s="306"/>
      <c r="C10" s="414"/>
    </row>
    <row r="11" spans="1:3" s="165" customFormat="1" ht="12.75">
      <c r="A11" s="171" t="s">
        <v>368</v>
      </c>
      <c r="B11" s="354">
        <v>15000</v>
      </c>
      <c r="C11" s="414">
        <v>15000</v>
      </c>
    </row>
    <row r="12" spans="1:3" s="165" customFormat="1" ht="12.75">
      <c r="A12" s="171" t="s">
        <v>369</v>
      </c>
      <c r="B12" s="354">
        <v>442625</v>
      </c>
      <c r="C12" s="414">
        <v>442625</v>
      </c>
    </row>
    <row r="13" spans="1:3" s="165" customFormat="1" ht="12.75">
      <c r="A13" s="171" t="s">
        <v>370</v>
      </c>
      <c r="B13" s="356">
        <v>534614</v>
      </c>
      <c r="C13" s="414">
        <v>534614</v>
      </c>
    </row>
    <row r="14" spans="1:3" s="165" customFormat="1" ht="12.75">
      <c r="A14" s="171" t="s">
        <v>371</v>
      </c>
      <c r="B14" s="356">
        <v>674000</v>
      </c>
      <c r="C14" s="414">
        <v>674000</v>
      </c>
    </row>
    <row r="15" spans="1:3" s="165" customFormat="1" ht="12.75">
      <c r="A15" s="171" t="s">
        <v>372</v>
      </c>
      <c r="B15" s="354">
        <v>85059</v>
      </c>
      <c r="C15" s="414">
        <v>85059</v>
      </c>
    </row>
    <row r="16" spans="1:3" s="165" customFormat="1" ht="12.75">
      <c r="A16" s="171" t="s">
        <v>373</v>
      </c>
      <c r="B16" s="354">
        <v>413856</v>
      </c>
      <c r="C16" s="414">
        <v>413856</v>
      </c>
    </row>
    <row r="17" spans="1:3" s="165" customFormat="1" ht="12.75">
      <c r="A17" s="171" t="s">
        <v>374</v>
      </c>
      <c r="B17" s="354">
        <v>125211</v>
      </c>
      <c r="C17" s="414">
        <v>125211</v>
      </c>
    </row>
    <row r="18" spans="1:3" s="165" customFormat="1" ht="12.75">
      <c r="A18" s="171" t="s">
        <v>375</v>
      </c>
      <c r="B18" s="354">
        <v>933000</v>
      </c>
      <c r="C18" s="414">
        <v>933000</v>
      </c>
    </row>
    <row r="19" spans="1:3" s="165" customFormat="1" ht="12.75">
      <c r="A19" s="171" t="s">
        <v>376</v>
      </c>
      <c r="B19" s="354">
        <v>418000</v>
      </c>
      <c r="C19" s="414">
        <v>418000</v>
      </c>
    </row>
    <row r="20" spans="1:3" s="165" customFormat="1" ht="12.75">
      <c r="A20" s="171" t="s">
        <v>377</v>
      </c>
      <c r="B20" s="354">
        <v>48954</v>
      </c>
      <c r="C20" s="414">
        <v>48954</v>
      </c>
    </row>
    <row r="21" spans="1:3" s="165" customFormat="1" ht="12.75">
      <c r="A21" s="171" t="s">
        <v>381</v>
      </c>
      <c r="B21" s="354">
        <v>220000</v>
      </c>
      <c r="C21" s="414">
        <v>220000</v>
      </c>
    </row>
    <row r="22" spans="1:3" s="165" customFormat="1" ht="12.75">
      <c r="A22" s="171" t="s">
        <v>378</v>
      </c>
      <c r="B22" s="354">
        <v>8875</v>
      </c>
      <c r="C22" s="414">
        <v>8875</v>
      </c>
    </row>
    <row r="23" spans="1:3" s="165" customFormat="1" ht="12.75">
      <c r="A23" s="171" t="s">
        <v>379</v>
      </c>
      <c r="B23" s="354">
        <v>1500</v>
      </c>
      <c r="C23" s="414">
        <v>1500</v>
      </c>
    </row>
    <row r="24" spans="1:3" s="165" customFormat="1" ht="12.75">
      <c r="A24" s="171" t="s">
        <v>380</v>
      </c>
      <c r="B24" s="354">
        <v>6250</v>
      </c>
      <c r="C24" s="414">
        <v>6250</v>
      </c>
    </row>
    <row r="25" spans="1:3" s="165" customFormat="1" ht="12.75">
      <c r="A25" s="171" t="s">
        <v>382</v>
      </c>
      <c r="B25" s="354">
        <v>1250</v>
      </c>
      <c r="C25" s="414">
        <v>1250</v>
      </c>
    </row>
    <row r="26" spans="1:3" s="165" customFormat="1" ht="12.75">
      <c r="A26" s="173" t="s">
        <v>383</v>
      </c>
      <c r="B26" s="354">
        <v>7000</v>
      </c>
      <c r="C26" s="414">
        <v>7000</v>
      </c>
    </row>
    <row r="27" spans="1:3" s="165" customFormat="1" ht="12.75">
      <c r="A27" s="171" t="s">
        <v>548</v>
      </c>
      <c r="B27" s="354">
        <v>15000</v>
      </c>
      <c r="C27" s="414">
        <v>15000</v>
      </c>
    </row>
    <row r="28" spans="1:3" s="165" customFormat="1" ht="12.75">
      <c r="A28" s="171" t="s">
        <v>515</v>
      </c>
      <c r="B28" s="354">
        <v>149993</v>
      </c>
      <c r="C28" s="414">
        <v>149993</v>
      </c>
    </row>
    <row r="29" spans="1:5" s="172" customFormat="1" ht="12.75">
      <c r="A29" s="170" t="s">
        <v>261</v>
      </c>
      <c r="B29" s="306">
        <f>SUM(B11:B28)</f>
        <v>4100187</v>
      </c>
      <c r="C29" s="415">
        <f>SUM(C11:C28)</f>
        <v>4100187</v>
      </c>
      <c r="E29" s="184"/>
    </row>
    <row r="30" spans="1:5" s="172" customFormat="1" ht="12.75">
      <c r="A30" s="170"/>
      <c r="B30" s="306"/>
      <c r="C30" s="415"/>
      <c r="E30" s="184"/>
    </row>
    <row r="31" spans="1:3" s="165" customFormat="1" ht="12.75">
      <c r="A31" s="171"/>
      <c r="B31" s="306"/>
      <c r="C31" s="414"/>
    </row>
    <row r="32" spans="1:3" s="165" customFormat="1" ht="12.75">
      <c r="A32" s="170" t="s">
        <v>312</v>
      </c>
      <c r="B32" s="354"/>
      <c r="C32" s="414"/>
    </row>
    <row r="33" spans="1:3" s="165" customFormat="1" ht="12.75">
      <c r="A33" s="173" t="s">
        <v>384</v>
      </c>
      <c r="B33" s="354">
        <v>4000</v>
      </c>
      <c r="C33" s="414">
        <v>4000</v>
      </c>
    </row>
    <row r="34" spans="1:3" s="165" customFormat="1" ht="12.75">
      <c r="A34" s="173" t="s">
        <v>385</v>
      </c>
      <c r="B34" s="354">
        <v>6250</v>
      </c>
      <c r="C34" s="414">
        <v>6250</v>
      </c>
    </row>
    <row r="35" spans="1:3" s="165" customFormat="1" ht="12.75">
      <c r="A35" s="173" t="s">
        <v>386</v>
      </c>
      <c r="B35" s="354">
        <v>625</v>
      </c>
      <c r="C35" s="414">
        <v>625</v>
      </c>
    </row>
    <row r="36" spans="1:3" s="165" customFormat="1" ht="12.75">
      <c r="A36" s="173" t="s">
        <v>387</v>
      </c>
      <c r="B36" s="354">
        <v>21738</v>
      </c>
      <c r="C36" s="414">
        <v>21738</v>
      </c>
    </row>
    <row r="37" spans="1:3" s="165" customFormat="1" ht="12.75">
      <c r="A37" s="173" t="s">
        <v>388</v>
      </c>
      <c r="B37" s="354">
        <v>3500</v>
      </c>
      <c r="C37" s="414">
        <v>3500</v>
      </c>
    </row>
    <row r="38" spans="1:3" s="165" customFormat="1" ht="12.75">
      <c r="A38" s="173" t="s">
        <v>389</v>
      </c>
      <c r="B38" s="354">
        <v>795</v>
      </c>
      <c r="C38" s="414">
        <v>795</v>
      </c>
    </row>
    <row r="39" spans="1:3" s="165" customFormat="1" ht="12.75">
      <c r="A39" s="173" t="s">
        <v>390</v>
      </c>
      <c r="B39" s="354">
        <v>5000</v>
      </c>
      <c r="C39" s="414">
        <v>5000</v>
      </c>
    </row>
    <row r="40" spans="1:3" s="172" customFormat="1" ht="12.75">
      <c r="A40" s="174" t="s">
        <v>261</v>
      </c>
      <c r="B40" s="355">
        <f>SUM(B33:B39)</f>
        <v>41908</v>
      </c>
      <c r="C40" s="415">
        <f>SUM(C33:C39)</f>
        <v>41908</v>
      </c>
    </row>
    <row r="41" spans="1:3" s="172" customFormat="1" ht="12.75">
      <c r="A41" s="174"/>
      <c r="B41" s="355"/>
      <c r="C41" s="415"/>
    </row>
    <row r="42" spans="1:3" s="165" customFormat="1" ht="12.75">
      <c r="A42" s="171"/>
      <c r="B42" s="354"/>
      <c r="C42" s="414"/>
    </row>
    <row r="43" spans="1:3" s="165" customFormat="1" ht="12.75">
      <c r="A43" s="170" t="s">
        <v>392</v>
      </c>
      <c r="B43" s="354"/>
      <c r="C43" s="414"/>
    </row>
    <row r="44" spans="1:3" s="165" customFormat="1" ht="12.75">
      <c r="A44" s="171" t="s">
        <v>34</v>
      </c>
      <c r="B44" s="354">
        <v>500</v>
      </c>
      <c r="C44" s="414">
        <v>500</v>
      </c>
    </row>
    <row r="45" spans="1:3" s="165" customFormat="1" ht="12.75">
      <c r="A45" s="173" t="s">
        <v>35</v>
      </c>
      <c r="B45" s="354">
        <v>625</v>
      </c>
      <c r="C45" s="414">
        <f>B45+275</f>
        <v>900</v>
      </c>
    </row>
    <row r="46" spans="1:3" s="165" customFormat="1" ht="12.75">
      <c r="A46" s="173" t="s">
        <v>36</v>
      </c>
      <c r="B46" s="354">
        <v>43094</v>
      </c>
      <c r="C46" s="414">
        <v>43094</v>
      </c>
    </row>
    <row r="47" spans="1:3" s="165" customFormat="1" ht="12.75">
      <c r="A47" s="171" t="s">
        <v>37</v>
      </c>
      <c r="B47" s="354">
        <v>20000</v>
      </c>
      <c r="C47" s="414">
        <v>20000</v>
      </c>
    </row>
    <row r="48" spans="1:3" s="165" customFormat="1" ht="12.75">
      <c r="A48" s="171" t="s">
        <v>38</v>
      </c>
      <c r="B48" s="354">
        <v>2500</v>
      </c>
      <c r="C48" s="414">
        <v>2500</v>
      </c>
    </row>
    <row r="49" spans="1:3" s="165" customFormat="1" ht="12.75">
      <c r="A49" s="171" t="s">
        <v>39</v>
      </c>
      <c r="B49" s="354">
        <v>3000</v>
      </c>
      <c r="C49" s="414">
        <v>3000</v>
      </c>
    </row>
    <row r="50" spans="1:3" s="165" customFormat="1" ht="12.75">
      <c r="A50" s="171" t="s">
        <v>40</v>
      </c>
      <c r="B50" s="354">
        <v>800</v>
      </c>
      <c r="C50" s="414">
        <v>800</v>
      </c>
    </row>
    <row r="51" spans="1:3" s="165" customFormat="1" ht="12.75">
      <c r="A51" s="171" t="s">
        <v>41</v>
      </c>
      <c r="B51" s="354">
        <v>300</v>
      </c>
      <c r="C51" s="414">
        <v>300</v>
      </c>
    </row>
    <row r="52" spans="1:3" s="165" customFormat="1" ht="12.75">
      <c r="A52" s="171" t="s">
        <v>42</v>
      </c>
      <c r="B52" s="354">
        <v>125</v>
      </c>
      <c r="C52" s="414">
        <v>125</v>
      </c>
    </row>
    <row r="53" spans="1:3" s="165" customFormat="1" ht="12.75">
      <c r="A53" s="171" t="s">
        <v>43</v>
      </c>
      <c r="B53" s="354">
        <v>800</v>
      </c>
      <c r="C53" s="414">
        <v>800</v>
      </c>
    </row>
    <row r="54" spans="1:3" s="165" customFormat="1" ht="12.75">
      <c r="A54" s="171" t="s">
        <v>44</v>
      </c>
      <c r="B54" s="354">
        <v>750</v>
      </c>
      <c r="C54" s="414">
        <v>750</v>
      </c>
    </row>
    <row r="55" spans="1:3" s="165" customFormat="1" ht="12.75">
      <c r="A55" s="166" t="s">
        <v>45</v>
      </c>
      <c r="B55" s="356">
        <v>1000</v>
      </c>
      <c r="C55" s="414">
        <v>1000</v>
      </c>
    </row>
    <row r="56" spans="1:3" s="165" customFormat="1" ht="12.75">
      <c r="A56" s="171" t="s">
        <v>46</v>
      </c>
      <c r="B56" s="354">
        <v>1000</v>
      </c>
      <c r="C56" s="414">
        <v>1000</v>
      </c>
    </row>
    <row r="57" spans="1:3" s="165" customFormat="1" ht="12.75">
      <c r="A57" s="171" t="s">
        <v>47</v>
      </c>
      <c r="B57" s="354">
        <v>5000</v>
      </c>
      <c r="C57" s="414">
        <v>5000</v>
      </c>
    </row>
    <row r="58" spans="1:3" s="165" customFormat="1" ht="12.75">
      <c r="A58" s="171" t="s">
        <v>48</v>
      </c>
      <c r="B58" s="354">
        <v>300</v>
      </c>
      <c r="C58" s="414">
        <v>300</v>
      </c>
    </row>
    <row r="59" spans="1:3" s="165" customFormat="1" ht="12.75">
      <c r="A59" s="175" t="s">
        <v>49</v>
      </c>
      <c r="B59" s="358">
        <v>400</v>
      </c>
      <c r="C59" s="414">
        <v>400</v>
      </c>
    </row>
    <row r="60" spans="1:3" s="165" customFormat="1" ht="12.75">
      <c r="A60" s="175" t="s">
        <v>50</v>
      </c>
      <c r="B60" s="358">
        <v>375</v>
      </c>
      <c r="C60" s="414">
        <v>375</v>
      </c>
    </row>
    <row r="61" spans="1:3" s="165" customFormat="1" ht="12.75">
      <c r="A61" s="175" t="s">
        <v>51</v>
      </c>
      <c r="B61" s="358">
        <v>3000</v>
      </c>
      <c r="C61" s="414">
        <f>3000+2500</f>
        <v>5500</v>
      </c>
    </row>
    <row r="62" spans="1:3" s="165" customFormat="1" ht="12.75">
      <c r="A62" s="175" t="s">
        <v>52</v>
      </c>
      <c r="B62" s="358">
        <v>20367</v>
      </c>
      <c r="C62" s="414">
        <v>20367</v>
      </c>
    </row>
    <row r="63" spans="1:3" s="165" customFormat="1" ht="12.75">
      <c r="A63" s="175" t="s">
        <v>53</v>
      </c>
      <c r="B63" s="358">
        <v>1500</v>
      </c>
      <c r="C63" s="414">
        <v>1500</v>
      </c>
    </row>
    <row r="64" spans="1:3" s="165" customFormat="1" ht="12.75">
      <c r="A64" s="175" t="s">
        <v>595</v>
      </c>
      <c r="B64" s="358"/>
      <c r="C64" s="414">
        <v>10000</v>
      </c>
    </row>
    <row r="65" spans="1:3" s="165" customFormat="1" ht="12.75">
      <c r="A65" s="175" t="s">
        <v>596</v>
      </c>
      <c r="B65" s="358"/>
      <c r="C65" s="414">
        <v>14000</v>
      </c>
    </row>
    <row r="66" spans="1:3" s="165" customFormat="1" ht="12.75">
      <c r="A66" s="175" t="s">
        <v>701</v>
      </c>
      <c r="B66" s="358"/>
      <c r="C66" s="414">
        <v>10000</v>
      </c>
    </row>
    <row r="67" spans="1:3" s="165" customFormat="1" ht="12.75">
      <c r="A67" s="175" t="s">
        <v>597</v>
      </c>
      <c r="B67" s="358"/>
      <c r="C67" s="414">
        <v>4260</v>
      </c>
    </row>
    <row r="68" spans="1:3" s="165" customFormat="1" ht="12.75">
      <c r="A68" s="175" t="s">
        <v>598</v>
      </c>
      <c r="B68" s="358"/>
      <c r="C68" s="414">
        <v>15000</v>
      </c>
    </row>
    <row r="69" spans="1:3" s="165" customFormat="1" ht="12.75">
      <c r="A69" s="175" t="s">
        <v>599</v>
      </c>
      <c r="B69" s="358"/>
      <c r="C69" s="414"/>
    </row>
    <row r="70" spans="1:3" s="165" customFormat="1" ht="12.75">
      <c r="A70" s="175" t="s">
        <v>600</v>
      </c>
      <c r="B70" s="358"/>
      <c r="C70" s="414">
        <v>11958</v>
      </c>
    </row>
    <row r="71" spans="1:3" s="165" customFormat="1" ht="12.75">
      <c r="A71" s="175" t="s">
        <v>601</v>
      </c>
      <c r="B71" s="358"/>
      <c r="C71" s="414">
        <v>5766</v>
      </c>
    </row>
    <row r="72" spans="1:3" s="165" customFormat="1" ht="12.75">
      <c r="A72" s="175" t="s">
        <v>698</v>
      </c>
      <c r="B72" s="358"/>
      <c r="C72" s="414">
        <v>1873</v>
      </c>
    </row>
    <row r="73" spans="1:3" s="165" customFormat="1" ht="12.75">
      <c r="A73" s="175" t="s">
        <v>602</v>
      </c>
      <c r="B73" s="358"/>
      <c r="C73" s="414">
        <v>9250</v>
      </c>
    </row>
    <row r="74" spans="1:3" s="165" customFormat="1" ht="12.75">
      <c r="A74" s="175" t="s">
        <v>621</v>
      </c>
      <c r="B74" s="358"/>
      <c r="C74" s="461">
        <v>100</v>
      </c>
    </row>
    <row r="75" spans="1:3" s="165" customFormat="1" ht="13.5" thickBot="1">
      <c r="A75" s="421" t="s">
        <v>261</v>
      </c>
      <c r="B75" s="422">
        <f>SUM(B44:B63)</f>
        <v>105436</v>
      </c>
      <c r="C75" s="423">
        <f>SUM(C44:C74)</f>
        <v>190418</v>
      </c>
    </row>
    <row r="76" spans="1:3" s="165" customFormat="1" ht="13.5" thickTop="1">
      <c r="A76" s="164"/>
      <c r="B76" s="352" t="s">
        <v>206</v>
      </c>
      <c r="C76" s="363" t="s">
        <v>700</v>
      </c>
    </row>
    <row r="77" spans="1:3" s="165" customFormat="1" ht="12.75">
      <c r="A77" s="170" t="s">
        <v>57</v>
      </c>
      <c r="B77" s="364"/>
      <c r="C77" s="414"/>
    </row>
    <row r="78" spans="1:3" s="165" customFormat="1" ht="12.75">
      <c r="A78" s="171" t="s">
        <v>54</v>
      </c>
      <c r="B78" s="354">
        <v>15000</v>
      </c>
      <c r="C78" s="414">
        <v>15000</v>
      </c>
    </row>
    <row r="79" spans="1:3" s="165" customFormat="1" ht="12.75">
      <c r="A79" s="171" t="s">
        <v>516</v>
      </c>
      <c r="B79" s="354"/>
      <c r="C79" s="414"/>
    </row>
    <row r="80" spans="1:3" s="165" customFormat="1" ht="12.75">
      <c r="A80" s="171" t="s">
        <v>517</v>
      </c>
      <c r="B80" s="354">
        <v>7500</v>
      </c>
      <c r="C80" s="414">
        <v>7500</v>
      </c>
    </row>
    <row r="81" spans="1:3" s="165" customFormat="1" ht="12.75">
      <c r="A81" s="171" t="s">
        <v>518</v>
      </c>
      <c r="B81" s="354">
        <v>5000</v>
      </c>
      <c r="C81" s="414">
        <v>5000</v>
      </c>
    </row>
    <row r="82" spans="1:3" s="165" customFormat="1" ht="12.75">
      <c r="A82" s="171" t="s">
        <v>519</v>
      </c>
      <c r="B82" s="354">
        <v>30000</v>
      </c>
      <c r="C82" s="414">
        <v>30000</v>
      </c>
    </row>
    <row r="83" spans="1:3" s="165" customFormat="1" ht="12.75">
      <c r="A83" s="171" t="s">
        <v>520</v>
      </c>
      <c r="B83" s="354">
        <v>6250</v>
      </c>
      <c r="C83" s="414">
        <v>6250</v>
      </c>
    </row>
    <row r="84" spans="1:3" s="165" customFormat="1" ht="12.75">
      <c r="A84" s="171" t="s">
        <v>604</v>
      </c>
      <c r="B84" s="354"/>
      <c r="C84" s="414">
        <f>5500+9000</f>
        <v>14500</v>
      </c>
    </row>
    <row r="85" spans="1:3" s="165" customFormat="1" ht="12.75">
      <c r="A85" s="171" t="s">
        <v>603</v>
      </c>
      <c r="B85" s="354"/>
      <c r="C85" s="414">
        <v>3156</v>
      </c>
    </row>
    <row r="86" spans="1:3" s="165" customFormat="1" ht="12.75">
      <c r="A86" s="171" t="s">
        <v>605</v>
      </c>
      <c r="B86" s="354"/>
      <c r="C86" s="414">
        <v>100000</v>
      </c>
    </row>
    <row r="87" spans="1:3" s="165" customFormat="1" ht="12.75">
      <c r="A87" s="171" t="s">
        <v>697</v>
      </c>
      <c r="B87" s="354"/>
      <c r="C87" s="414">
        <v>3308</v>
      </c>
    </row>
    <row r="88" spans="1:3" s="172" customFormat="1" ht="12.75">
      <c r="A88" s="176" t="s">
        <v>261</v>
      </c>
      <c r="B88" s="306">
        <f>SUM(B78:B83)</f>
        <v>63750</v>
      </c>
      <c r="C88" s="419">
        <f>SUM(C78:C87)</f>
        <v>184714</v>
      </c>
    </row>
    <row r="89" spans="1:3" s="165" customFormat="1" ht="12.75">
      <c r="A89" s="166"/>
      <c r="B89" s="356"/>
      <c r="C89" s="414"/>
    </row>
    <row r="90" spans="1:3" s="178" customFormat="1" ht="13.5">
      <c r="A90" s="177" t="s">
        <v>204</v>
      </c>
      <c r="B90" s="359">
        <f>SUM(B91:B91)</f>
        <v>0</v>
      </c>
      <c r="C90" s="416">
        <f>SUM(C91:C91)</f>
        <v>763</v>
      </c>
    </row>
    <row r="91" spans="1:3" s="165" customFormat="1" ht="12.75">
      <c r="A91" s="171" t="s">
        <v>606</v>
      </c>
      <c r="B91" s="354">
        <v>0</v>
      </c>
      <c r="C91" s="414">
        <v>763</v>
      </c>
    </row>
    <row r="92" spans="1:3" s="165" customFormat="1" ht="12.75">
      <c r="A92" s="171"/>
      <c r="B92" s="354"/>
      <c r="C92" s="414"/>
    </row>
    <row r="93" spans="1:3" s="179" customFormat="1" ht="13.5">
      <c r="A93" s="177" t="s">
        <v>216</v>
      </c>
      <c r="B93" s="353">
        <f>SUM(B94:B94)</f>
        <v>2400</v>
      </c>
      <c r="C93" s="413">
        <f>SUM(C94:C97)</f>
        <v>6352</v>
      </c>
    </row>
    <row r="94" spans="1:3" s="165" customFormat="1" ht="12.75">
      <c r="A94" s="171" t="s">
        <v>699</v>
      </c>
      <c r="B94" s="354">
        <v>2400</v>
      </c>
      <c r="C94" s="414">
        <v>2400</v>
      </c>
    </row>
    <row r="95" spans="1:3" s="165" customFormat="1" ht="12.75">
      <c r="A95" s="175" t="s">
        <v>607</v>
      </c>
      <c r="B95" s="358"/>
      <c r="C95" s="414">
        <v>250</v>
      </c>
    </row>
    <row r="96" spans="1:3" s="165" customFormat="1" ht="12.75">
      <c r="A96" s="175" t="s">
        <v>608</v>
      </c>
      <c r="B96" s="358"/>
      <c r="C96" s="414">
        <v>750</v>
      </c>
    </row>
    <row r="97" spans="1:3" s="165" customFormat="1" ht="12.75">
      <c r="A97" s="175" t="s">
        <v>609</v>
      </c>
      <c r="B97" s="358"/>
      <c r="C97" s="414">
        <v>2952</v>
      </c>
    </row>
    <row r="98" spans="1:3" s="165" customFormat="1" ht="12.75">
      <c r="A98" s="175"/>
      <c r="B98" s="358"/>
      <c r="C98" s="414"/>
    </row>
    <row r="99" spans="1:3" s="162" customFormat="1" ht="14.25" thickBot="1">
      <c r="A99" s="180" t="s">
        <v>217</v>
      </c>
      <c r="B99" s="365">
        <f>SUM(B8+B90+B93)</f>
        <v>4313681</v>
      </c>
      <c r="C99" s="420">
        <f>SUM(C8+C90+C93)</f>
        <v>4524342</v>
      </c>
    </row>
    <row r="100" s="165" customFormat="1" ht="13.5" thickTop="1">
      <c r="C100" s="418"/>
    </row>
    <row r="101" s="165" customFormat="1" ht="12.75">
      <c r="C101" s="418"/>
    </row>
    <row r="102" s="165" customFormat="1" ht="12.75">
      <c r="C102" s="418"/>
    </row>
    <row r="103" s="165" customFormat="1" ht="12.75">
      <c r="C103" s="418"/>
    </row>
    <row r="104" s="165" customFormat="1" ht="12.75">
      <c r="C104" s="418"/>
    </row>
    <row r="105" s="165" customFormat="1" ht="12.75">
      <c r="C105" s="418"/>
    </row>
    <row r="106" s="165" customFormat="1" ht="12.75">
      <c r="C106" s="418"/>
    </row>
    <row r="107" s="165" customFormat="1" ht="12.75">
      <c r="C107" s="418"/>
    </row>
    <row r="108" s="165" customFormat="1" ht="12.75">
      <c r="C108" s="418"/>
    </row>
    <row r="109" s="165" customFormat="1" ht="12.75">
      <c r="C109" s="418"/>
    </row>
    <row r="110" s="165" customFormat="1" ht="12.75">
      <c r="C110" s="418"/>
    </row>
    <row r="111" s="165" customFormat="1" ht="12.75">
      <c r="C111" s="418"/>
    </row>
    <row r="112" s="165" customFormat="1" ht="12.75">
      <c r="C112" s="418"/>
    </row>
    <row r="113" s="165" customFormat="1" ht="12.75">
      <c r="C113" s="418"/>
    </row>
    <row r="114" s="165" customFormat="1" ht="12.75">
      <c r="C114" s="418"/>
    </row>
    <row r="115" s="165" customFormat="1" ht="12.75">
      <c r="C115" s="418"/>
    </row>
    <row r="116" s="165" customFormat="1" ht="12.75">
      <c r="C116" s="418"/>
    </row>
    <row r="117" s="165" customFormat="1" ht="12.75">
      <c r="C117" s="418"/>
    </row>
    <row r="118" s="165" customFormat="1" ht="12.75">
      <c r="C118" s="418"/>
    </row>
    <row r="119" s="165" customFormat="1" ht="12.75">
      <c r="C119" s="418"/>
    </row>
    <row r="120" s="165" customFormat="1" ht="12.75">
      <c r="C120" s="418"/>
    </row>
    <row r="121" s="165" customFormat="1" ht="12.75">
      <c r="C121" s="418"/>
    </row>
    <row r="122" s="165" customFormat="1" ht="12.75">
      <c r="C122" s="418"/>
    </row>
    <row r="123" s="165" customFormat="1" ht="12.75">
      <c r="C123" s="418"/>
    </row>
    <row r="124" s="165" customFormat="1" ht="12.75">
      <c r="C124" s="418"/>
    </row>
    <row r="125" s="165" customFormat="1" ht="12.75">
      <c r="C125" s="418"/>
    </row>
    <row r="126" s="165" customFormat="1" ht="12.75">
      <c r="C126" s="418"/>
    </row>
    <row r="127" s="165" customFormat="1" ht="12.75">
      <c r="C127" s="418"/>
    </row>
    <row r="128" s="165" customFormat="1" ht="12.75">
      <c r="C128" s="418"/>
    </row>
    <row r="129" s="165" customFormat="1" ht="12.75">
      <c r="C129" s="418"/>
    </row>
    <row r="130" s="165" customFormat="1" ht="12.75">
      <c r="C130" s="418"/>
    </row>
    <row r="131" s="165" customFormat="1" ht="12.75">
      <c r="C131" s="418"/>
    </row>
    <row r="132" s="165" customFormat="1" ht="12.75">
      <c r="C132" s="418"/>
    </row>
    <row r="133" s="165" customFormat="1" ht="12.75">
      <c r="C133" s="418"/>
    </row>
    <row r="134" s="165" customFormat="1" ht="12.75">
      <c r="C134" s="418"/>
    </row>
    <row r="135" s="165" customFormat="1" ht="12.75">
      <c r="C135" s="418"/>
    </row>
    <row r="136" s="165" customFormat="1" ht="12.75">
      <c r="C136" s="418"/>
    </row>
    <row r="137" s="165" customFormat="1" ht="12.75">
      <c r="C137" s="418"/>
    </row>
    <row r="138" s="165" customFormat="1" ht="12.75">
      <c r="C138" s="418"/>
    </row>
    <row r="139" s="165" customFormat="1" ht="12.75">
      <c r="C139" s="418"/>
    </row>
    <row r="140" s="165" customFormat="1" ht="12.75">
      <c r="C140" s="418"/>
    </row>
    <row r="141" s="165" customFormat="1" ht="12.75">
      <c r="C141" s="418"/>
    </row>
    <row r="142" s="165" customFormat="1" ht="12.75">
      <c r="C142" s="418"/>
    </row>
    <row r="143" s="165" customFormat="1" ht="12.75">
      <c r="C143" s="418"/>
    </row>
    <row r="144" s="165" customFormat="1" ht="12.75">
      <c r="C144" s="418"/>
    </row>
    <row r="145" s="165" customFormat="1" ht="12.75">
      <c r="C145" s="418"/>
    </row>
    <row r="146" s="165" customFormat="1" ht="12.75">
      <c r="C146" s="418"/>
    </row>
    <row r="147" s="165" customFormat="1" ht="12.75">
      <c r="C147" s="418"/>
    </row>
    <row r="148" s="165" customFormat="1" ht="12.75">
      <c r="C148" s="418"/>
    </row>
    <row r="149" s="165" customFormat="1" ht="12.75">
      <c r="C149" s="418"/>
    </row>
    <row r="150" s="165" customFormat="1" ht="12.75">
      <c r="C150" s="418"/>
    </row>
    <row r="151" s="165" customFormat="1" ht="12.75">
      <c r="C151" s="418"/>
    </row>
    <row r="152" ht="12.75">
      <c r="C152" s="411"/>
    </row>
    <row r="153" ht="12.75">
      <c r="C153" s="411"/>
    </row>
    <row r="154" ht="12.75">
      <c r="C154" s="411"/>
    </row>
    <row r="155" ht="12.75">
      <c r="C155" s="411"/>
    </row>
    <row r="156" ht="12.75">
      <c r="C156" s="411"/>
    </row>
    <row r="157" ht="12.75">
      <c r="C157" s="411"/>
    </row>
    <row r="158" ht="12.75">
      <c r="C158" s="411"/>
    </row>
    <row r="159" ht="12.75">
      <c r="C159" s="411"/>
    </row>
    <row r="160" ht="12.75">
      <c r="C160" s="411"/>
    </row>
    <row r="161" ht="12.75">
      <c r="C161" s="411"/>
    </row>
    <row r="162" ht="12.75">
      <c r="C162" s="411"/>
    </row>
    <row r="163" ht="12.75">
      <c r="C163" s="411"/>
    </row>
    <row r="164" ht="12.75">
      <c r="C164" s="411"/>
    </row>
    <row r="165" ht="12.75">
      <c r="C165" s="411"/>
    </row>
    <row r="166" ht="12.75">
      <c r="C166" s="411"/>
    </row>
    <row r="167" ht="12.75">
      <c r="C167" s="411"/>
    </row>
    <row r="168" ht="12.75">
      <c r="C168" s="411"/>
    </row>
    <row r="169" ht="12.75">
      <c r="C169" s="411"/>
    </row>
    <row r="170" ht="12.75">
      <c r="C170" s="411"/>
    </row>
    <row r="171" ht="12.75">
      <c r="C171" s="411"/>
    </row>
    <row r="172" ht="12.75">
      <c r="C172" s="411"/>
    </row>
    <row r="173" ht="12.75">
      <c r="C173" s="411"/>
    </row>
    <row r="174" ht="12.75">
      <c r="C174" s="411"/>
    </row>
    <row r="175" ht="12.75">
      <c r="C175" s="411"/>
    </row>
    <row r="176" ht="12.75">
      <c r="C176" s="411"/>
    </row>
    <row r="177" ht="12.75">
      <c r="C177" s="411"/>
    </row>
    <row r="178" ht="12.75">
      <c r="C178" s="411"/>
    </row>
  </sheetData>
  <mergeCells count="2">
    <mergeCell ref="A3:C3"/>
    <mergeCell ref="A4:C4"/>
  </mergeCells>
  <printOptions horizontalCentered="1"/>
  <pageMargins left="0.3937007874015748" right="0.15748031496062992" top="0.36" bottom="0.29" header="0.15748031496062992" footer="0.25"/>
  <pageSetup horizontalDpi="600" verticalDpi="600" orientation="portrait" paperSize="9" scale="75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D6" sqref="D6"/>
    </sheetView>
  </sheetViews>
  <sheetFormatPr defaultColWidth="9.00390625" defaultRowHeight="12.75"/>
  <cols>
    <col min="1" max="1" width="64.25390625" style="0" customWidth="1"/>
    <col min="2" max="5" width="10.75390625" style="0" customWidth="1"/>
  </cols>
  <sheetData>
    <row r="1" spans="1:2" ht="12.75">
      <c r="A1" s="24" t="s">
        <v>130</v>
      </c>
      <c r="B1" s="4"/>
    </row>
    <row r="2" spans="1:2" ht="12.75">
      <c r="A2" s="24"/>
      <c r="B2" s="4"/>
    </row>
    <row r="3" spans="1:5" ht="13.5">
      <c r="A3" s="623" t="s">
        <v>152</v>
      </c>
      <c r="B3" s="624"/>
      <c r="C3" s="546"/>
      <c r="D3" s="546"/>
      <c r="E3" s="546"/>
    </row>
    <row r="4" spans="1:5" ht="13.5">
      <c r="A4" s="623" t="s">
        <v>135</v>
      </c>
      <c r="B4" s="624"/>
      <c r="C4" s="546"/>
      <c r="D4" s="546"/>
      <c r="E4" s="546"/>
    </row>
    <row r="5" spans="1:2" ht="16.5" thickBot="1">
      <c r="A5" s="6"/>
      <c r="B5" s="4"/>
    </row>
    <row r="6" spans="1:5" ht="55.5" customHeight="1" thickTop="1">
      <c r="A6" s="41" t="s">
        <v>267</v>
      </c>
      <c r="B6" s="252" t="s">
        <v>207</v>
      </c>
      <c r="C6" s="366" t="s">
        <v>153</v>
      </c>
      <c r="D6" s="367" t="s">
        <v>700</v>
      </c>
      <c r="E6" s="253" t="s">
        <v>153</v>
      </c>
    </row>
    <row r="7" spans="1:5" ht="15" customHeight="1">
      <c r="A7" s="230" t="s">
        <v>96</v>
      </c>
      <c r="B7" s="254">
        <v>68400</v>
      </c>
      <c r="C7" s="429">
        <v>54720</v>
      </c>
      <c r="D7" s="430">
        <v>68400</v>
      </c>
      <c r="E7" s="431">
        <v>54720</v>
      </c>
    </row>
    <row r="8" spans="1:5" ht="15" customHeight="1">
      <c r="A8" s="144" t="s">
        <v>325</v>
      </c>
      <c r="B8" s="254">
        <v>10190</v>
      </c>
      <c r="C8" s="429">
        <v>9171</v>
      </c>
      <c r="D8" s="430">
        <v>10190</v>
      </c>
      <c r="E8" s="431">
        <v>9171</v>
      </c>
    </row>
    <row r="9" spans="1:5" ht="15" customHeight="1">
      <c r="A9" s="144" t="s">
        <v>326</v>
      </c>
      <c r="B9" s="254">
        <v>3661</v>
      </c>
      <c r="C9" s="429">
        <v>3295</v>
      </c>
      <c r="D9" s="430">
        <v>3661</v>
      </c>
      <c r="E9" s="431">
        <v>3295</v>
      </c>
    </row>
    <row r="10" spans="1:5" ht="15" customHeight="1">
      <c r="A10" s="144" t="s">
        <v>131</v>
      </c>
      <c r="B10" s="254">
        <v>1300</v>
      </c>
      <c r="C10" s="429">
        <v>1170</v>
      </c>
      <c r="D10" s="430">
        <v>1300</v>
      </c>
      <c r="E10" s="431">
        <v>1170</v>
      </c>
    </row>
    <row r="11" spans="1:5" ht="15" customHeight="1">
      <c r="A11" s="144" t="s">
        <v>327</v>
      </c>
      <c r="B11" s="254">
        <v>12000</v>
      </c>
      <c r="C11" s="429">
        <v>10800</v>
      </c>
      <c r="D11" s="430">
        <v>12000</v>
      </c>
      <c r="E11" s="431">
        <v>10800</v>
      </c>
    </row>
    <row r="12" spans="1:5" ht="15" customHeight="1">
      <c r="A12" s="144" t="s">
        <v>328</v>
      </c>
      <c r="B12" s="254">
        <v>15000</v>
      </c>
      <c r="C12" s="429"/>
      <c r="D12" s="430">
        <v>15000</v>
      </c>
      <c r="E12" s="431"/>
    </row>
    <row r="13" spans="1:5" ht="15" customHeight="1">
      <c r="A13" s="144" t="s">
        <v>104</v>
      </c>
      <c r="B13" s="254">
        <v>5000</v>
      </c>
      <c r="C13" s="429">
        <v>4500</v>
      </c>
      <c r="D13" s="430">
        <v>5000</v>
      </c>
      <c r="E13" s="431">
        <v>4500</v>
      </c>
    </row>
    <row r="14" spans="1:5" ht="15" customHeight="1">
      <c r="A14" s="144" t="s">
        <v>329</v>
      </c>
      <c r="B14" s="254">
        <v>23085</v>
      </c>
      <c r="C14" s="429">
        <v>17314</v>
      </c>
      <c r="D14" s="430">
        <v>23085</v>
      </c>
      <c r="E14" s="431">
        <v>17314</v>
      </c>
    </row>
    <row r="15" spans="1:5" ht="15" customHeight="1">
      <c r="A15" s="144" t="s">
        <v>330</v>
      </c>
      <c r="B15" s="254">
        <v>10260</v>
      </c>
      <c r="C15" s="429"/>
      <c r="D15" s="430">
        <v>10260</v>
      </c>
      <c r="E15" s="431"/>
    </row>
    <row r="16" spans="1:5" ht="15" customHeight="1">
      <c r="A16" s="144" t="s">
        <v>331</v>
      </c>
      <c r="B16" s="254">
        <v>20000</v>
      </c>
      <c r="C16" s="429"/>
      <c r="D16" s="430">
        <v>20000</v>
      </c>
      <c r="E16" s="431"/>
    </row>
    <row r="17" spans="1:5" ht="15" customHeight="1">
      <c r="A17" s="144" t="s">
        <v>332</v>
      </c>
      <c r="B17" s="254">
        <v>6500</v>
      </c>
      <c r="C17" s="429"/>
      <c r="D17" s="430">
        <v>6500</v>
      </c>
      <c r="E17" s="431"/>
    </row>
    <row r="18" spans="1:5" ht="15" customHeight="1">
      <c r="A18" s="144" t="s">
        <v>336</v>
      </c>
      <c r="B18" s="254">
        <v>6600</v>
      </c>
      <c r="C18" s="429">
        <v>6600</v>
      </c>
      <c r="D18" s="430">
        <v>6600</v>
      </c>
      <c r="E18" s="431">
        <v>6600</v>
      </c>
    </row>
    <row r="19" spans="1:5" ht="15" customHeight="1">
      <c r="A19" s="144" t="s">
        <v>337</v>
      </c>
      <c r="B19" s="254">
        <v>8000</v>
      </c>
      <c r="C19" s="429"/>
      <c r="D19" s="430">
        <v>8000</v>
      </c>
      <c r="E19" s="431"/>
    </row>
    <row r="20" spans="1:5" ht="15" customHeight="1">
      <c r="A20" s="144" t="s">
        <v>355</v>
      </c>
      <c r="B20" s="254">
        <v>200</v>
      </c>
      <c r="C20" s="429"/>
      <c r="D20" s="430">
        <v>200</v>
      </c>
      <c r="E20" s="431"/>
    </row>
    <row r="21" spans="1:5" ht="15" customHeight="1">
      <c r="A21" s="144" t="s">
        <v>319</v>
      </c>
      <c r="B21" s="254">
        <v>1500</v>
      </c>
      <c r="C21" s="429"/>
      <c r="D21" s="430">
        <v>1500</v>
      </c>
      <c r="E21" s="431"/>
    </row>
    <row r="22" spans="1:5" ht="15" customHeight="1">
      <c r="A22" s="144" t="s">
        <v>108</v>
      </c>
      <c r="B22" s="254">
        <v>24000</v>
      </c>
      <c r="C22" s="429"/>
      <c r="D22" s="430">
        <v>24781</v>
      </c>
      <c r="E22" s="431"/>
    </row>
    <row r="23" spans="1:5" ht="15" customHeight="1">
      <c r="A23" s="144" t="s">
        <v>154</v>
      </c>
      <c r="B23" s="254">
        <v>4500</v>
      </c>
      <c r="C23" s="429">
        <v>4500</v>
      </c>
      <c r="D23" s="430">
        <v>4500</v>
      </c>
      <c r="E23" s="431">
        <v>4500</v>
      </c>
    </row>
    <row r="24" spans="1:5" ht="15" customHeight="1">
      <c r="A24" s="144" t="s">
        <v>333</v>
      </c>
      <c r="B24" s="254"/>
      <c r="C24" s="429"/>
      <c r="D24" s="430"/>
      <c r="E24" s="431"/>
    </row>
    <row r="25" spans="1:5" s="159" customFormat="1" ht="15" customHeight="1">
      <c r="A25" s="42" t="s">
        <v>338</v>
      </c>
      <c r="B25" s="432">
        <f>SUM(B7:B24)</f>
        <v>220196</v>
      </c>
      <c r="C25" s="433">
        <f>SUM(C7:C24)</f>
        <v>112070</v>
      </c>
      <c r="D25" s="433">
        <f>SUM(D7:D24)</f>
        <v>220977</v>
      </c>
      <c r="E25" s="434">
        <f>SUM(E7:E24)</f>
        <v>112070</v>
      </c>
    </row>
    <row r="26" spans="1:5" ht="15" customHeight="1">
      <c r="A26" s="145"/>
      <c r="B26" s="435"/>
      <c r="C26" s="429"/>
      <c r="D26" s="430"/>
      <c r="E26" s="431"/>
    </row>
    <row r="27" spans="1:5" ht="15" customHeight="1">
      <c r="A27" s="144" t="s">
        <v>85</v>
      </c>
      <c r="B27" s="435"/>
      <c r="C27" s="429"/>
      <c r="D27" s="430"/>
      <c r="E27" s="431"/>
    </row>
    <row r="28" spans="1:5" ht="15" customHeight="1">
      <c r="A28" s="144" t="s">
        <v>111</v>
      </c>
      <c r="B28" s="254"/>
      <c r="C28" s="429"/>
      <c r="D28" s="430"/>
      <c r="E28" s="431"/>
    </row>
    <row r="29" spans="1:5" ht="15" customHeight="1">
      <c r="A29" s="144" t="s">
        <v>132</v>
      </c>
      <c r="B29" s="254">
        <v>1500</v>
      </c>
      <c r="C29" s="429"/>
      <c r="D29" s="430">
        <v>1500</v>
      </c>
      <c r="E29" s="431"/>
    </row>
    <row r="30" spans="1:5" ht="15" customHeight="1">
      <c r="A30" s="144" t="s">
        <v>133</v>
      </c>
      <c r="B30" s="254">
        <v>2000</v>
      </c>
      <c r="C30" s="429"/>
      <c r="D30" s="430">
        <v>2000</v>
      </c>
      <c r="E30" s="431"/>
    </row>
    <row r="31" spans="1:5" ht="15" customHeight="1">
      <c r="A31" s="144" t="s">
        <v>335</v>
      </c>
      <c r="B31" s="254"/>
      <c r="C31" s="429"/>
      <c r="D31" s="430"/>
      <c r="E31" s="431"/>
    </row>
    <row r="32" spans="1:5" s="159" customFormat="1" ht="15" customHeight="1">
      <c r="A32" s="42" t="s">
        <v>347</v>
      </c>
      <c r="B32" s="432">
        <f>SUM(B27:B31)</f>
        <v>3500</v>
      </c>
      <c r="C32" s="433">
        <f>SUM(C27:C31)</f>
        <v>0</v>
      </c>
      <c r="D32" s="433">
        <f>SUM(D27:D31)</f>
        <v>3500</v>
      </c>
      <c r="E32" s="434">
        <f>SUM(E27:E31)</f>
        <v>0</v>
      </c>
    </row>
    <row r="33" spans="1:5" ht="15" customHeight="1">
      <c r="A33" s="144"/>
      <c r="B33" s="254"/>
      <c r="C33" s="429"/>
      <c r="D33" s="430"/>
      <c r="E33" s="431"/>
    </row>
    <row r="34" spans="1:5" s="159" customFormat="1" ht="15" customHeight="1">
      <c r="A34" s="42" t="s">
        <v>348</v>
      </c>
      <c r="B34" s="432">
        <f>SUM(B25,B32)</f>
        <v>223696</v>
      </c>
      <c r="C34" s="433">
        <f>SUM(C25,C32)</f>
        <v>112070</v>
      </c>
      <c r="D34" s="433">
        <f>SUM(D25,D32)</f>
        <v>224477</v>
      </c>
      <c r="E34" s="434">
        <f>SUM(E25,E32)</f>
        <v>112070</v>
      </c>
    </row>
    <row r="35" spans="1:5" ht="15" customHeight="1">
      <c r="A35" s="10"/>
      <c r="B35" s="254"/>
      <c r="C35" s="429"/>
      <c r="D35" s="430"/>
      <c r="E35" s="431"/>
    </row>
    <row r="36" spans="1:5" s="159" customFormat="1" ht="15" customHeight="1">
      <c r="A36" s="25" t="s">
        <v>308</v>
      </c>
      <c r="B36" s="432">
        <f>SUM(B37:B38)</f>
        <v>8003</v>
      </c>
      <c r="C36" s="433">
        <f>SUM(C37:C38)</f>
        <v>4155</v>
      </c>
      <c r="D36" s="433">
        <f>SUM(D37:D38)</f>
        <v>8003</v>
      </c>
      <c r="E36" s="434">
        <f>SUM(E37:E38)</f>
        <v>4155</v>
      </c>
    </row>
    <row r="37" spans="1:5" ht="15" customHeight="1">
      <c r="A37" s="10" t="s">
        <v>349</v>
      </c>
      <c r="B37" s="254">
        <v>5540</v>
      </c>
      <c r="C37" s="429">
        <v>4155</v>
      </c>
      <c r="D37" s="430">
        <v>5540</v>
      </c>
      <c r="E37" s="431">
        <v>4155</v>
      </c>
    </row>
    <row r="38" spans="1:5" ht="15" customHeight="1">
      <c r="A38" s="10" t="s">
        <v>350</v>
      </c>
      <c r="B38" s="254">
        <v>2463</v>
      </c>
      <c r="C38" s="429"/>
      <c r="D38" s="430">
        <v>2463</v>
      </c>
      <c r="E38" s="431"/>
    </row>
    <row r="39" spans="1:5" ht="15" customHeight="1">
      <c r="A39" s="10"/>
      <c r="B39" s="254"/>
      <c r="C39" s="429"/>
      <c r="D39" s="430"/>
      <c r="E39" s="431"/>
    </row>
    <row r="40" spans="1:5" s="158" customFormat="1" ht="15" customHeight="1" thickBot="1">
      <c r="A40" s="146" t="s">
        <v>217</v>
      </c>
      <c r="B40" s="436">
        <f>SUM(B34,B36)</f>
        <v>231699</v>
      </c>
      <c r="C40" s="437">
        <f>SUM(C34,C36)</f>
        <v>116225</v>
      </c>
      <c r="D40" s="437">
        <f>SUM(D34,D36)</f>
        <v>232480</v>
      </c>
      <c r="E40" s="438">
        <f>SUM(E34,E36)</f>
        <v>116225</v>
      </c>
    </row>
    <row r="41" spans="1:2" ht="13.5" thickTop="1">
      <c r="A41" s="4"/>
      <c r="B41" s="4"/>
    </row>
  </sheetData>
  <mergeCells count="2">
    <mergeCell ref="A3:E3"/>
    <mergeCell ref="A4:E4"/>
  </mergeCells>
  <printOptions horizontalCentered="1"/>
  <pageMargins left="0.24" right="0.24" top="0.7874015748031497" bottom="0.3149606299212598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2010-05-26T09:22:59Z</cp:lastPrinted>
  <dcterms:created xsi:type="dcterms:W3CDTF">2003-02-14T08:59:10Z</dcterms:created>
  <dcterms:modified xsi:type="dcterms:W3CDTF">2010-05-26T14:03:32Z</dcterms:modified>
  <cp:category/>
  <cp:version/>
  <cp:contentType/>
  <cp:contentStatus/>
</cp:coreProperties>
</file>